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6" activeTab="2"/>
  </bookViews>
  <sheets>
    <sheet name="IonPairing" sheetId="1" r:id="rId1"/>
    <sheet name="MetalSpeciation" sheetId="2" r:id="rId2"/>
    <sheet name="LigandSpeciation" sheetId="3" r:id="rId3"/>
    <sheet name="H2CO3sol" sheetId="4" r:id="rId4"/>
  </sheets>
  <definedNames>
    <definedName name="[APDC]">'LigandSpeciation'!$B$144:$B$144</definedName>
    <definedName name="ALK">'IonPairing'!$E$193:$E$193</definedName>
    <definedName name="ALK-EQUATIONS">'IonPairing'!$A$212:$A$212</definedName>
    <definedName name="BOH4FREE">'IonPairing'!$C$184:$C$184</definedName>
    <definedName name="BRFEE">'IonPairing'!$C$178:$C$178</definedName>
    <definedName name="CAFREE">'IonPairing'!$F$176:$F$176</definedName>
    <definedName name="C-ALK">'IonPairing'!$C$208:$C$208</definedName>
    <definedName name="CHLOR%">'IonPairing'!$D$18:$D$18</definedName>
    <definedName name="CIT">'LigandSpeciation'!$B$59:$B$59</definedName>
    <definedName name="CLFREE">'IonPairing'!$C$177:$C$177</definedName>
    <definedName name="CO3FREE">'IonPairing'!$C$183:$C$183</definedName>
    <definedName name="CO3SW">'IonPairing'!$B$183:$B$183</definedName>
    <definedName name="CT">'IonPairing'!$B$190:$B$190</definedName>
    <definedName name="FFREE">'IonPairing'!$C$185:$C$185</definedName>
    <definedName name="H+FREE">'LigandSpeciation'!$G$10:$G$10</definedName>
    <definedName name="H2CO3">'IonPairing'!$C$186:$C$186</definedName>
    <definedName name="HCO3FREE">'IonPairing'!$C$182:$C$182</definedName>
    <definedName name="HCO3SW">'IonPairing'!$B$182:$B$182</definedName>
    <definedName name="HF">'IonPairing'!$C$187:$C$187</definedName>
    <definedName name="HFREE">'IonPairing'!$E$13:$E$13</definedName>
    <definedName name="HSO4FREE">'IonPairing'!$C$180:$C$180</definedName>
    <definedName name="HSW">'IonPairing'!$E$12:$E$12</definedName>
    <definedName name="IEFF">'IonPairing'!$E$189:$E$189</definedName>
    <definedName name="IFORMAL">'IonPairing'!$E$190:$E$190</definedName>
    <definedName name="K*H">'IonPairing'!$G$120:$G$120</definedName>
    <definedName name="KFREE">'IonPairing'!$G$176:$G$176</definedName>
    <definedName name="K'H">'IonPairing'!$G$137:$G$137</definedName>
    <definedName name="LGBCUSA2">'LigandSpeciation'!$C$169</definedName>
    <definedName name="LGB'CUSA2">'LigandSpeciation'!$C$169:$C$169</definedName>
    <definedName name="LGKCuSA">'LigandSpeciation'!$C$168</definedName>
    <definedName name="LGK'CUSA">'LigandSpeciation'!#REF!</definedName>
    <definedName name="MGFREE">'IonPairing'!$E$176:$E$176</definedName>
    <definedName name="NAFREE">'IonPairing'!$D$176:$D$176</definedName>
    <definedName name="NTA">'LigandSpeciation'!$B$38:$B$38</definedName>
    <definedName name="OHFREE">'IonPairing'!$C$179:$C$179</definedName>
    <definedName name="PH">'LigandSpeciation'!$B$13:$B$13</definedName>
    <definedName name="PHFREE">'IonPairing'!$E$191:$E$191</definedName>
    <definedName name="PHNBS">'IonPairing'!$E$192:$E$192</definedName>
    <definedName name="PHSW">'IonPairing'!$B$191:$B$191</definedName>
    <definedName name="SAL">'IonPairing'!$B$192:$B$192</definedName>
    <definedName name="SALINITY">'LigandSpeciation'!$B$12:$B$12</definedName>
    <definedName name="SO4FREE">'IonPairing'!$C$181:$C$181</definedName>
    <definedName name="SRFREE">'IonPairing'!$H$176:$H$176</definedName>
    <definedName name="TEMP">'IonPairing'!$B$193:$B$193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<sst xmlns="http://schemas.openxmlformats.org/spreadsheetml/2006/main" count="1217" uniqueCount="969">
  <si>
    <t xml:space="preserve">Ionpairing model for seawater.  Written by C.M.G. van den Berg, </t>
  </si>
  <si>
    <t>Table 5. Stability constants for trace metal speciation as a function of</t>
  </si>
  <si>
    <t>calculation of dz2</t>
  </si>
  <si>
    <t>Oceanography Laboratory, University of Liverpool, Liverpool L69 3BX, UK.</t>
  </si>
  <si>
    <t>the ionic strength. Data from Turner et al., 1981 (GCA 45(1981)855).</t>
  </si>
  <si>
    <t>------------------------------------------------------</t>
  </si>
  <si>
    <t>Effective ionic strength=</t>
  </si>
  <si>
    <t>alpha-coeffs.</t>
  </si>
  <si>
    <t>complex:</t>
  </si>
  <si>
    <t>dz2=Sz2(products) - Sz2(reactants)</t>
  </si>
  <si>
    <t>Inputs:</t>
  </si>
  <si>
    <t>salinity</t>
  </si>
  <si>
    <t>complex</t>
  </si>
  <si>
    <t>log Bo</t>
  </si>
  <si>
    <t>B</t>
  </si>
  <si>
    <t>D</t>
  </si>
  <si>
    <t>C</t>
  </si>
  <si>
    <t>dz^2</t>
  </si>
  <si>
    <t>log B*</t>
  </si>
  <si>
    <t>individual</t>
  </si>
  <si>
    <t>%species</t>
  </si>
  <si>
    <t>hydrolysis:</t>
  </si>
  <si>
    <t>M^z+ = M(OH)v^(z-v)+ + vH^+</t>
  </si>
  <si>
    <t>pH(SW)</t>
  </si>
  <si>
    <t>[Hsw]</t>
  </si>
  <si>
    <t>K'L</t>
  </si>
  <si>
    <t>logaM'</t>
  </si>
  <si>
    <t>dz2= (z-v)^2 + v - z^2</t>
  </si>
  <si>
    <t>[Hfree]</t>
  </si>
  <si>
    <t>Ag+</t>
  </si>
  <si>
    <t>total ionic concentrations</t>
  </si>
  <si>
    <t>Ag(OH)</t>
  </si>
  <si>
    <t>major</t>
  </si>
  <si>
    <t>river</t>
  </si>
  <si>
    <t>moles.kg-solution</t>
  </si>
  <si>
    <t>Ag(OH)2-</t>
  </si>
  <si>
    <t>ions</t>
  </si>
  <si>
    <t>endmember</t>
  </si>
  <si>
    <t>standard SW</t>
  </si>
  <si>
    <t>calculated composition</t>
  </si>
  <si>
    <t>AgF</t>
  </si>
  <si>
    <t>Salinity</t>
  </si>
  <si>
    <t>35</t>
  </si>
  <si>
    <t>AgCl</t>
  </si>
  <si>
    <t>chlorinity</t>
  </si>
  <si>
    <t>AgCl2-</t>
  </si>
  <si>
    <t>H'</t>
  </si>
  <si>
    <t>AgCl3=</t>
  </si>
  <si>
    <t>Na'</t>
  </si>
  <si>
    <t>AgCl4=-</t>
  </si>
  <si>
    <t>Mg'</t>
  </si>
  <si>
    <t>AgSO4-</t>
  </si>
  <si>
    <t>Ca'</t>
  </si>
  <si>
    <t>Ag(SO4)23-</t>
  </si>
  <si>
    <t>K'</t>
  </si>
  <si>
    <t>Ag(SO4)35-</t>
  </si>
  <si>
    <t>Sr'</t>
  </si>
  <si>
    <t>AgCO3-</t>
  </si>
  <si>
    <t>Cl'</t>
  </si>
  <si>
    <t>***********************************************************************</t>
  </si>
  <si>
    <t>Br'</t>
  </si>
  <si>
    <t>Al3+</t>
  </si>
  <si>
    <t>SO4T</t>
  </si>
  <si>
    <t>Al(OH)^2+</t>
  </si>
  <si>
    <t>CT</t>
  </si>
  <si>
    <t>Al(OH)2^+</t>
  </si>
  <si>
    <t>B(OH)T</t>
  </si>
  <si>
    <t>Al(OH)3^0</t>
  </si>
  <si>
    <t>FT</t>
  </si>
  <si>
    <t>Al(OH)4^-</t>
  </si>
  <si>
    <t>AlF^2+</t>
  </si>
  <si>
    <t>PO4T</t>
  </si>
  <si>
    <t>AlF2^+</t>
  </si>
  <si>
    <t>AlF3</t>
  </si>
  <si>
    <t>AlF4^-</t>
  </si>
  <si>
    <t>Table 1</t>
  </si>
  <si>
    <t>AlF5^2-</t>
  </si>
  <si>
    <t>AlF6^3-</t>
  </si>
  <si>
    <t>Al(CO3)+</t>
  </si>
  <si>
    <t>ionic strength:</t>
  </si>
  <si>
    <t>Species</t>
  </si>
  <si>
    <t>valency</t>
  </si>
  <si>
    <t>ln y</t>
  </si>
  <si>
    <t>y</t>
  </si>
  <si>
    <t>Cd2+</t>
  </si>
  <si>
    <t>H+</t>
  </si>
  <si>
    <t>Cd(OH)^+</t>
  </si>
  <si>
    <t>Na+</t>
  </si>
  <si>
    <t>Cd(OH)2</t>
  </si>
  <si>
    <t>Mg2+</t>
  </si>
  <si>
    <t>Cd(OH)3^-</t>
  </si>
  <si>
    <t>Ca2+</t>
  </si>
  <si>
    <t>Cd(OH)4^-</t>
  </si>
  <si>
    <t>K+</t>
  </si>
  <si>
    <t>CdF+</t>
  </si>
  <si>
    <t>Sr2+</t>
  </si>
  <si>
    <t>CdF2</t>
  </si>
  <si>
    <t>Cl-</t>
  </si>
  <si>
    <t>CdCl+</t>
  </si>
  <si>
    <t>Br-</t>
  </si>
  <si>
    <t>CdCl2</t>
  </si>
  <si>
    <t>OH-</t>
  </si>
  <si>
    <t>CdCl3-</t>
  </si>
  <si>
    <t>HSO4-</t>
  </si>
  <si>
    <t>CdCl42-</t>
  </si>
  <si>
    <t>SO4=</t>
  </si>
  <si>
    <t>Cd(SO4)</t>
  </si>
  <si>
    <t>HCO3-</t>
  </si>
  <si>
    <t>Cd(SO4)22-</t>
  </si>
  <si>
    <t>CO3=</t>
  </si>
  <si>
    <t>Cd(SO4)34-</t>
  </si>
  <si>
    <t>B(OH)4-</t>
  </si>
  <si>
    <t>Cd(SO4)46-</t>
  </si>
  <si>
    <t>aCd</t>
  </si>
  <si>
    <t>F-</t>
  </si>
  <si>
    <t>Cd(CO3)</t>
  </si>
  <si>
    <t>ion pairs:</t>
  </si>
  <si>
    <t>1/1</t>
  </si>
  <si>
    <t>Co2+</t>
  </si>
  <si>
    <t>2/2</t>
  </si>
  <si>
    <t>Co(OH)+</t>
  </si>
  <si>
    <t>1/2</t>
  </si>
  <si>
    <t>Co(OH)2^0</t>
  </si>
  <si>
    <t>neutral species:</t>
  </si>
  <si>
    <t>Co(OH)3^-</t>
  </si>
  <si>
    <t>H2CO3*</t>
  </si>
  <si>
    <t>Co(OH)4^2-</t>
  </si>
  <si>
    <t>B(OH)3</t>
  </si>
  <si>
    <t>CoF+</t>
  </si>
  <si>
    <t>HF</t>
  </si>
  <si>
    <t>CoCl+</t>
  </si>
  <si>
    <t>Co(SO4)</t>
  </si>
  <si>
    <t>Table 2  Data from Dickson and Whitfield (1981) unless indicated differently.</t>
  </si>
  <si>
    <t>Co(CO3)</t>
  </si>
  <si>
    <t>Activity coefficients and stability constants for the formation of ion pairing</t>
  </si>
  <si>
    <t>K* are concentration constants valid at given ionic strengths.</t>
  </si>
  <si>
    <t>Cr3+</t>
  </si>
  <si>
    <t>K' are conditional stability constants</t>
  </si>
  <si>
    <t>Cr(OH)^2+</t>
  </si>
  <si>
    <t>Acidity constants are defined as formation constants: Ka=HA/H A</t>
  </si>
  <si>
    <t>Cr(OH)2^+</t>
  </si>
  <si>
    <t>log K(I=0)</t>
  </si>
  <si>
    <t>K(I=0)</t>
  </si>
  <si>
    <t>K*</t>
  </si>
  <si>
    <t>log K*</t>
  </si>
  <si>
    <t>concentration</t>
  </si>
  <si>
    <t>Cr(OH)3^0</t>
  </si>
  <si>
    <t>ionic strength</t>
  </si>
  <si>
    <t>0</t>
  </si>
  <si>
    <t>[ion]*z^2</t>
  </si>
  <si>
    <t>CrF^2+</t>
  </si>
  <si>
    <t>NaCl</t>
  </si>
  <si>
    <t>CrF2^+</t>
  </si>
  <si>
    <t>NaBr</t>
  </si>
  <si>
    <t>CrF3</t>
  </si>
  <si>
    <t>NaOH</t>
  </si>
  <si>
    <t>CrCl^2+</t>
  </si>
  <si>
    <t>NaHSO4</t>
  </si>
  <si>
    <t>CrSO4^+</t>
  </si>
  <si>
    <t>NaSO4</t>
  </si>
  <si>
    <t>NaHCO3</t>
  </si>
  <si>
    <t>CrO4^2-</t>
  </si>
  <si>
    <t>NaCO3-</t>
  </si>
  <si>
    <t>HCrO4^-</t>
  </si>
  <si>
    <t>NaB(OH)4</t>
  </si>
  <si>
    <t>H2CrO4</t>
  </si>
  <si>
    <t>NaF</t>
  </si>
  <si>
    <t>NaCrO4^-</t>
  </si>
  <si>
    <t>MgCl+</t>
  </si>
  <si>
    <t>KCrO4^-</t>
  </si>
  <si>
    <t>MgBr+</t>
  </si>
  <si>
    <t>MgOH+</t>
  </si>
  <si>
    <t>Cu+</t>
  </si>
  <si>
    <t>MgHSO4+</t>
  </si>
  <si>
    <t>CuCl</t>
  </si>
  <si>
    <t>MgSO4</t>
  </si>
  <si>
    <t>CuCl2^-</t>
  </si>
  <si>
    <t>MgHCO3+</t>
  </si>
  <si>
    <t>CuCl3^-2</t>
  </si>
  <si>
    <t>MgCO3</t>
  </si>
  <si>
    <t>MgB(OH)4+</t>
  </si>
  <si>
    <t>Cu2+</t>
  </si>
  <si>
    <t>constants from:</t>
  </si>
  <si>
    <t>other constants from:</t>
  </si>
  <si>
    <t>MgF+</t>
  </si>
  <si>
    <t>Cu(OH)^+</t>
  </si>
  <si>
    <t>van den Berg (1984)</t>
  </si>
  <si>
    <t>CaCl+</t>
  </si>
  <si>
    <t>Cu(OH)2^0</t>
  </si>
  <si>
    <t>CaBr+</t>
  </si>
  <si>
    <t>Cu(OH)3^-1</t>
  </si>
  <si>
    <t>Zuehlke and Kester, 1983</t>
  </si>
  <si>
    <t>CaOH+</t>
  </si>
  <si>
    <t>Cu(OH)4^-2</t>
  </si>
  <si>
    <t>CaHSO4+</t>
  </si>
  <si>
    <t>Cu(CO3)^0</t>
  </si>
  <si>
    <t>=logKsw,Soli &amp; Byrne (1989)</t>
  </si>
  <si>
    <t>=a,Turner et al., 1981</t>
  </si>
  <si>
    <t>CaSO4</t>
  </si>
  <si>
    <t>Cu(CO3)2^2-</t>
  </si>
  <si>
    <t>logBo adjusted to give logB* in agreement with Byrne and Miller (1985)</t>
  </si>
  <si>
    <t>CaHCO3+</t>
  </si>
  <si>
    <t>CuHCO3+</t>
  </si>
  <si>
    <t>CaCO3</t>
  </si>
  <si>
    <t>CuCl+</t>
  </si>
  <si>
    <t>aCu'</t>
  </si>
  <si>
    <t>CaB(OH)4+</t>
  </si>
  <si>
    <t>CuSO4</t>
  </si>
  <si>
    <t>Soli and Byrne, 1989</t>
  </si>
  <si>
    <t>CaF+</t>
  </si>
  <si>
    <t>KCl</t>
  </si>
  <si>
    <t>Fe2+</t>
  </si>
  <si>
    <t>KBr</t>
  </si>
  <si>
    <t>Fe(OH)^+</t>
  </si>
  <si>
    <t>KOH</t>
  </si>
  <si>
    <t>Fe(OH)2^0</t>
  </si>
  <si>
    <t>KHSO4</t>
  </si>
  <si>
    <t>Fe(OH)3^-</t>
  </si>
  <si>
    <t>KSO4-</t>
  </si>
  <si>
    <t>Fe(OH)4^2-</t>
  </si>
  <si>
    <t>KHCO3</t>
  </si>
  <si>
    <t>FeF^+</t>
  </si>
  <si>
    <t>KCO3-</t>
  </si>
  <si>
    <t>FeCl^+</t>
  </si>
  <si>
    <t>KB(OH)4</t>
  </si>
  <si>
    <t>Fe(SO4)</t>
  </si>
  <si>
    <t>KF</t>
  </si>
  <si>
    <t>Fe(CO3)</t>
  </si>
  <si>
    <t>Byrne/Kester data</t>
  </si>
  <si>
    <t>SrCl+</t>
  </si>
  <si>
    <t>logB*</t>
  </si>
  <si>
    <t>SrBr+</t>
  </si>
  <si>
    <t>Fe^3+</t>
  </si>
  <si>
    <t>Hudson et al(1992) data for I=0.7</t>
  </si>
  <si>
    <t>a-values</t>
  </si>
  <si>
    <t>alpha values</t>
  </si>
  <si>
    <t>increasing Sums</t>
  </si>
  <si>
    <t>pK* B&amp;K 1976</t>
  </si>
  <si>
    <t>SrOH+</t>
  </si>
  <si>
    <t>Fe(OH)^2+</t>
  </si>
  <si>
    <t>Millero et al, 1995</t>
  </si>
  <si>
    <t>FeOH</t>
  </si>
  <si>
    <t>SrHSO4+</t>
  </si>
  <si>
    <t>Fe(OH)2^+</t>
  </si>
  <si>
    <t>FeOH2</t>
  </si>
  <si>
    <t>SrSO4</t>
  </si>
  <si>
    <t>Fe(OH)3^0</t>
  </si>
  <si>
    <t>FeOH3</t>
  </si>
  <si>
    <t>SrHCO3+</t>
  </si>
  <si>
    <t>Fe(OH)4^-</t>
  </si>
  <si>
    <t>from Table:</t>
  </si>
  <si>
    <t>log alphaB&amp;K</t>
  </si>
  <si>
    <t>SrCO3</t>
  </si>
  <si>
    <t>FeF^2+</t>
  </si>
  <si>
    <t>log a</t>
  </si>
  <si>
    <t>excl Fe(OH)3</t>
  </si>
  <si>
    <t>incl FeOH4</t>
  </si>
  <si>
    <t>SrB(OH)4+</t>
  </si>
  <si>
    <t>FeF2^+</t>
  </si>
  <si>
    <t>Byrne/Kester 1976</t>
  </si>
  <si>
    <t>SUM (incl Fe(OH4)-</t>
  </si>
  <si>
    <t>SrF+</t>
  </si>
  <si>
    <t>FeF3</t>
  </si>
  <si>
    <t>KSo=[Fe3+][H+]^-3=4.7*10^5</t>
  </si>
  <si>
    <t>Sum exc Fe(OH4)</t>
  </si>
  <si>
    <t>solubility</t>
  </si>
  <si>
    <t>K*H2CO3=K'H2CO3sw*aHCO3sw*aHsw</t>
  </si>
  <si>
    <t>Dickson and Millero (1987) conv.</t>
  </si>
  <si>
    <t>+------/2</t>
  </si>
  <si>
    <t>FeCl^2+</t>
  </si>
  <si>
    <t>Fe3+</t>
  </si>
  <si>
    <t>K*HCO3=K'HCO3sw*aCO3sw*aHsw/aHCO3sw</t>
  </si>
  <si>
    <t>=ionic</t>
  </si>
  <si>
    <t>FeCl2^+</t>
  </si>
  <si>
    <t>Max Fe' nM</t>
  </si>
  <si>
    <t>Max Fe3+</t>
  </si>
  <si>
    <t>Table Byrne/Kester</t>
  </si>
  <si>
    <t>K*So from B/K</t>
  </si>
  <si>
    <t>log alpha</t>
  </si>
  <si>
    <t>K*B(OH)3</t>
  </si>
  <si>
    <t>strength due to ion-pairs</t>
  </si>
  <si>
    <t>FeCl3</t>
  </si>
  <si>
    <t>Solubility 0.4 nM at pH8</t>
  </si>
  <si>
    <t xml:space="preserve">K*So = </t>
  </si>
  <si>
    <t>Dickson and Riley (1979) conv.</t>
  </si>
  <si>
    <t>Fe(SO4)^+</t>
  </si>
  <si>
    <t>Max Fe'</t>
  </si>
  <si>
    <t>Max Fe' no Fe)OH)3</t>
  </si>
  <si>
    <t>HOH</t>
  </si>
  <si>
    <t>Fe(SO4)2^-</t>
  </si>
  <si>
    <t>aFe excl Fe(OH)3o</t>
  </si>
  <si>
    <t>Khoo et al. (1977) conv.</t>
  </si>
  <si>
    <t>Fe(CO3)^+</t>
  </si>
  <si>
    <t>Max Fe' no Fe(OH)3 &amp; Fe(OH)4-</t>
  </si>
  <si>
    <t>HPO4^2-</t>
  </si>
  <si>
    <t>Reaction: 'PO4+H &lt;-&gt;HPO4</t>
  </si>
  <si>
    <t>Sandino and Bruno (1992), 0.5M NaClO4</t>
  </si>
  <si>
    <t>Mn2+</t>
  </si>
  <si>
    <t>K'HF = [HFsw]/([Fsw][Hf])</t>
  </si>
  <si>
    <t>Dickson and Riley (1979)</t>
  </si>
  <si>
    <t>Khoo, Ramette, Culberson and Bates (1977)</t>
  </si>
  <si>
    <t>logBHSO4</t>
  </si>
  <si>
    <t>Mn(OH)^+</t>
  </si>
  <si>
    <t>K'HSO4 = [HSO4sw]/[SO4sw][Hf]</t>
  </si>
  <si>
    <t>Millero, L&amp;O, 1986</t>
  </si>
  <si>
    <t>Mn(OH)2</t>
  </si>
  <si>
    <t>K'H2S=[H2Ssw]/[H+][HSsw]</t>
  </si>
  <si>
    <t xml:space="preserve">lnK'H2S = </t>
  </si>
  <si>
    <t>Millero, 1995</t>
  </si>
  <si>
    <t>Mn(OH)3^-</t>
  </si>
  <si>
    <t>K'HS=[HSsw]/[Hnbs][Ssw]</t>
  </si>
  <si>
    <t>Goldhaber and Kaplan, 1975</t>
  </si>
  <si>
    <t>Mn(OH)4^2-</t>
  </si>
  <si>
    <t>K'HOCl=aH[OCl-SW]/[HOCl]</t>
  </si>
  <si>
    <t>pK value is given:</t>
  </si>
  <si>
    <t>Sugam and Helz, 1976</t>
  </si>
  <si>
    <t>MnF^+</t>
  </si>
  <si>
    <t>MnCl^+</t>
  </si>
  <si>
    <t>Conditional acidity (association) constants with all species at seawater concentrations:</t>
  </si>
  <si>
    <t>Mn(SO4)</t>
  </si>
  <si>
    <t>K'H2CO3sw = [H2CO3sw]/[HCO3sw][Hsw]</t>
  </si>
  <si>
    <t>Dickson and Millero (1987) Deep-Sea Res. 1733-1743, Eqn for 0&lt;S&lt;40</t>
  </si>
  <si>
    <t>Mn(CO3)</t>
  </si>
  <si>
    <t>K'HCO3sw = [HCO3sw]/([CO3sw][Hsw])</t>
  </si>
  <si>
    <t>Dickson and Millero (1987), Eqn for 0&lt;S&lt;40</t>
  </si>
  <si>
    <t>K'B(OH)3sw = [B(OH3sw]/([Hsw][BOH4sw])</t>
  </si>
  <si>
    <t>MoO4^2-</t>
  </si>
  <si>
    <t>K'HFsw = [HFsw]/([Hsw][Fsw])</t>
  </si>
  <si>
    <t>HMoO4^-</t>
  </si>
  <si>
    <t>K'HOHsw = 1/([Hsw][OHsw])</t>
  </si>
  <si>
    <t>H2MoO4</t>
  </si>
  <si>
    <t>K'HSO4sw = [HSO4sw]/([SO4sw][Hsw])</t>
  </si>
  <si>
    <t>****************************************************************************</t>
  </si>
  <si>
    <t>K'H = Henry constant</t>
  </si>
  <si>
    <t>Edmond and Gieskes, GCA 34(1970)1261 (from Stumm &amp; Morgan, 204)</t>
  </si>
  <si>
    <t>Ni2+</t>
  </si>
  <si>
    <t>-logcKH=-2385.73/T + 14.0184 - 0.0152642T + I(0.28596 - 6.167x10^-4xT)</t>
  </si>
  <si>
    <t>Ni(OH)+</t>
  </si>
  <si>
    <t>Table 3 Calculation of alphas and free ionic concentrations.</t>
  </si>
  <si>
    <t>Ni(OH)2</t>
  </si>
  <si>
    <t>Free concns are calculated from total concns/alpha.</t>
  </si>
  <si>
    <t>Ni(OH)3^-</t>
  </si>
  <si>
    <t>ion</t>
  </si>
  <si>
    <t>alpha</t>
  </si>
  <si>
    <t>[free concn]</t>
  </si>
  <si>
    <t>ionic</t>
  </si>
  <si>
    <t>Ni(OH)4^2-</t>
  </si>
  <si>
    <t>strength</t>
  </si>
  <si>
    <t>NiF^+</t>
  </si>
  <si>
    <t>NiCl^+</t>
  </si>
  <si>
    <t>NiSO4</t>
  </si>
  <si>
    <t>Mg++</t>
  </si>
  <si>
    <t>Ni(SO4)2^2-</t>
  </si>
  <si>
    <t>Ca++</t>
  </si>
  <si>
    <t>NiCO3</t>
  </si>
  <si>
    <t>Sr++</t>
  </si>
  <si>
    <t>Pd^2+</t>
  </si>
  <si>
    <t>Pd(OH)^+</t>
  </si>
  <si>
    <t>IUPAC, Stability constants of metal-ion complexes. Part A: Inorganic ligands, IUPAC Chemical data series, no.21. Pergamon Press, Oxford, 1982. Valid for 0.1M</t>
  </si>
  <si>
    <t>Pd(OH)2</t>
  </si>
  <si>
    <t>Wood (GCA 55(1991)1759) (from solubility data); corrected for ionic strength using Ni data</t>
  </si>
  <si>
    <t>Pd(OH)3^-</t>
  </si>
  <si>
    <t>PdCl^+</t>
  </si>
  <si>
    <t>Smith and Martell, Vol.4, 1976; data valid for IS=1M</t>
  </si>
  <si>
    <t>Pd(Cl)2</t>
  </si>
  <si>
    <t>Pd(Cl)3^-</t>
  </si>
  <si>
    <t>Pd(Cl)4^2-</t>
  </si>
  <si>
    <t>H2CO3</t>
  </si>
  <si>
    <t>Pb^2+</t>
  </si>
  <si>
    <t>Pb(OH)^+</t>
  </si>
  <si>
    <t>Pb(OH)2</t>
  </si>
  <si>
    <t>=ionic strength due to free ions</t>
  </si>
  <si>
    <t>Pb(OH)3^-</t>
  </si>
  <si>
    <t>PbF+</t>
  </si>
  <si>
    <t>PbF2</t>
  </si>
  <si>
    <t>PbCl+</t>
  </si>
  <si>
    <t>PbCl2</t>
  </si>
  <si>
    <t>PbCl3-</t>
  </si>
  <si>
    <t>PbCl42-</t>
  </si>
  <si>
    <t>Pb(SO4)</t>
  </si>
  <si>
    <t>aPb</t>
  </si>
  <si>
    <t>Pb(SO4)22-</t>
  </si>
  <si>
    <t>Pb(CO3)</t>
  </si>
  <si>
    <t>Also: Nurnberg et al., 1976</t>
  </si>
  <si>
    <t>Table 4 Concentrations (moles.kg-solution) of ionpairs and free ions in seawater.</t>
  </si>
  <si>
    <t>]</t>
  </si>
  <si>
    <t>Pb(CO3)22-</t>
  </si>
  <si>
    <t xml:space="preserve">Inputs for the model are pH(SW), total carbon, temperature, and the salinity, at the </t>
  </si>
  <si>
    <t>bottom of the table.</t>
  </si>
  <si>
    <t>Pt2+</t>
  </si>
  <si>
    <t>total</t>
  </si>
  <si>
    <t>free</t>
  </si>
  <si>
    <t>Pt(OH)2</t>
  </si>
  <si>
    <t>Wood (GCA 55(1991)1759) (from solubility data); corrected for ionic strength using Pb data</t>
  </si>
  <si>
    <t>***</t>
  </si>
  <si>
    <t>PtCl+</t>
  </si>
  <si>
    <t>IUPAC, Stability constants of metal-ion complexes. Part A: Inorganic ligands, IUPAC Chemical data series, no.21. Pergamon Press, Oxford, 1982. Valid for 0.5M</t>
  </si>
  <si>
    <t>PtCl2</t>
  </si>
  <si>
    <t>PtCl3-</t>
  </si>
  <si>
    <t>PtCl42-</t>
  </si>
  <si>
    <t>PtCl3OH^2-</t>
  </si>
  <si>
    <t>Byrne &amp; Kump, GCA, 1993</t>
  </si>
  <si>
    <t>PtCl2OH2^2-</t>
  </si>
  <si>
    <t>Pt4+</t>
  </si>
  <si>
    <t>PtCl6^2-</t>
  </si>
  <si>
    <t>Incorrect calculation as K6 used is a stepwise constant from IUPAC</t>
  </si>
  <si>
    <t>Sb(OH)3</t>
  </si>
  <si>
    <t>Sb(OH)2^+</t>
  </si>
  <si>
    <t>Sb(OH)4^-</t>
  </si>
  <si>
    <t>inputs:</t>
  </si>
  <si>
    <t>effective I</t>
  </si>
  <si>
    <t>CT calc</t>
  </si>
  <si>
    <t>formal I</t>
  </si>
  <si>
    <t>Sb(OH)5</t>
  </si>
  <si>
    <t>pHsw meas.</t>
  </si>
  <si>
    <t>pH(free)</t>
  </si>
  <si>
    <t>Sb(OH)6^-</t>
  </si>
  <si>
    <t>pH(NBS)</t>
  </si>
  <si>
    <t>temp</t>
  </si>
  <si>
    <t>Alk meas.</t>
  </si>
  <si>
    <t>meq</t>
  </si>
  <si>
    <t>H2SeO3</t>
  </si>
  <si>
    <t>Alk(calc from species)</t>
  </si>
  <si>
    <t>pCO2 calc</t>
  </si>
  <si>
    <t>atm</t>
  </si>
  <si>
    <t>HSeO3^-</t>
  </si>
  <si>
    <t>____________________________________________________________________________</t>
  </si>
  <si>
    <t>SeO3^2-</t>
  </si>
  <si>
    <t>The model can be altered to calculate using pH(sw), pH(free), or pH(NBS).</t>
  </si>
  <si>
    <t>SeO4^2-</t>
  </si>
  <si>
    <t>Thereto the contents of the cells containing the expressions for pH(sw),</t>
  </si>
  <si>
    <t>HSeO4^-</t>
  </si>
  <si>
    <t>pH(free), or pH(NBS) have to changed by copying the contents (the formulas)</t>
  </si>
  <si>
    <t>of the following cells into the appropriate cell numbers:</t>
  </si>
  <si>
    <t>H2SiO4^2-</t>
  </si>
  <si>
    <t>cell#</t>
  </si>
  <si>
    <t>for pH(sw)</t>
  </si>
  <si>
    <t>for pH(NBS)</t>
  </si>
  <si>
    <t>for pH(free)</t>
  </si>
  <si>
    <t>H3SiO4^-</t>
  </si>
  <si>
    <t>B181:</t>
  </si>
  <si>
    <t>pH(sw) value</t>
  </si>
  <si>
    <t>H4SiO4</t>
  </si>
  <si>
    <t>E182:</t>
  </si>
  <si>
    <t>pH(free)value</t>
  </si>
  <si>
    <t>MgH2SiO4</t>
  </si>
  <si>
    <t>E183:</t>
  </si>
  <si>
    <t>pH(NBS) value</t>
  </si>
  <si>
    <t>CaH2SiO4</t>
  </si>
  <si>
    <t>KL</t>
  </si>
  <si>
    <t>% species</t>
  </si>
  <si>
    <t>loga</t>
  </si>
  <si>
    <t xml:space="preserve">Calculations using alkalinities (mmolal) instead of CT. </t>
  </si>
  <si>
    <t>Mo</t>
  </si>
  <si>
    <t>CT calc. from Alk</t>
  </si>
  <si>
    <t>C-Alk (mmolal) from Alk</t>
  </si>
  <si>
    <t>Alk, calculated from species sum</t>
  </si>
  <si>
    <t>MgH3SiO4^+</t>
  </si>
  <si>
    <t>CaH3SiO4^+</t>
  </si>
  <si>
    <t>Also, substitute the appropriate equations for HCO3, CO3, and H2CO3 into</t>
  </si>
  <si>
    <t>cells C152-C154 from either D or E column next to these cells.</t>
  </si>
  <si>
    <t>Sn4+</t>
  </si>
  <si>
    <t>Se</t>
  </si>
  <si>
    <t>Sn(OH)^3+</t>
  </si>
  <si>
    <t>CT eqns.</t>
  </si>
  <si>
    <t>alk eqns.</t>
  </si>
  <si>
    <t>ALK</t>
  </si>
  <si>
    <t>A:E186..A:E186</t>
  </si>
  <si>
    <t>Sn(OH)2^2+</t>
  </si>
  <si>
    <t>HCO3sw</t>
  </si>
  <si>
    <t>ALK-EQUATIONS</t>
  </si>
  <si>
    <t>A:A237..A:A237</t>
  </si>
  <si>
    <t>Sn(OH)3^+</t>
  </si>
  <si>
    <t>Ti</t>
  </si>
  <si>
    <t>CO3sw</t>
  </si>
  <si>
    <t>BOH4FREE</t>
  </si>
  <si>
    <t>A:C177..A:C177</t>
  </si>
  <si>
    <t>Sn(OH)4</t>
  </si>
  <si>
    <t>TiO^2+</t>
  </si>
  <si>
    <t>BRFEE</t>
  </si>
  <si>
    <t>A:C171..A:C171</t>
  </si>
  <si>
    <t>TiO(OH)^+</t>
  </si>
  <si>
    <t>C-ALK</t>
  </si>
  <si>
    <t>A:C201..A:C201</t>
  </si>
  <si>
    <t>TiO(OH)2</t>
  </si>
  <si>
    <t>CAFREE</t>
  </si>
  <si>
    <t>A:F169..A:F169</t>
  </si>
  <si>
    <t>TiO(SO4)</t>
  </si>
  <si>
    <t>CHLOR%</t>
  </si>
  <si>
    <t>A:D11..A:D11</t>
  </si>
  <si>
    <t>U</t>
  </si>
  <si>
    <t>CLFREE</t>
  </si>
  <si>
    <t>A:C170..A:C170</t>
  </si>
  <si>
    <t>UO2^2+</t>
  </si>
  <si>
    <t>CO3FREE</t>
  </si>
  <si>
    <t>A:C176..A:C176</t>
  </si>
  <si>
    <t>UO2(OH)^+</t>
  </si>
  <si>
    <t>CO3SW</t>
  </si>
  <si>
    <t>A:B176..A:B176</t>
  </si>
  <si>
    <t>Tl+</t>
  </si>
  <si>
    <t>UO2F+</t>
  </si>
  <si>
    <t>A:B183..A:B183</t>
  </si>
  <si>
    <t>Tl(OH)</t>
  </si>
  <si>
    <t>UO2F2</t>
  </si>
  <si>
    <t>FFREE</t>
  </si>
  <si>
    <t>A:C178..A:C178</t>
  </si>
  <si>
    <t>TlF</t>
  </si>
  <si>
    <t>UO2F3^-</t>
  </si>
  <si>
    <t>A:C179..A:C179</t>
  </si>
  <si>
    <t>TlCl</t>
  </si>
  <si>
    <t>UO2F4^2-</t>
  </si>
  <si>
    <t>HCO3FREE</t>
  </si>
  <si>
    <t>A:C175..A:C175</t>
  </si>
  <si>
    <t>TlCl2^-</t>
  </si>
  <si>
    <t>UO2Cl^+</t>
  </si>
  <si>
    <t>A:C180..A:C180</t>
  </si>
  <si>
    <t>Tl(SO4)^-</t>
  </si>
  <si>
    <t>UO2(SO4)</t>
  </si>
  <si>
    <t>HFREE</t>
  </si>
  <si>
    <t>A:E6..A:E6</t>
  </si>
  <si>
    <t>UO2(SO4)2^2-</t>
  </si>
  <si>
    <t>HSO4FREE</t>
  </si>
  <si>
    <t>A:C173..A:C173</t>
  </si>
  <si>
    <t>Tl^3+</t>
  </si>
  <si>
    <t>UO2(SO4)3^4-</t>
  </si>
  <si>
    <t>HSW</t>
  </si>
  <si>
    <t>A:E5..A:E5</t>
  </si>
  <si>
    <t>Tl(OH)^2+</t>
  </si>
  <si>
    <t>UO2(CO3)</t>
  </si>
  <si>
    <t>IEFF</t>
  </si>
  <si>
    <t>A:E182..A:E182</t>
  </si>
  <si>
    <t>Tl(OH)2^+</t>
  </si>
  <si>
    <t>UO2(CO3)2^2-</t>
  </si>
  <si>
    <t>IFORMAL</t>
  </si>
  <si>
    <t>A:E183..A:E183</t>
  </si>
  <si>
    <t>Tl(OH)3</t>
  </si>
  <si>
    <t>UO2(CO3)3^4-</t>
  </si>
  <si>
    <t>K'H</t>
  </si>
  <si>
    <t>A:G128..A:G128</t>
  </si>
  <si>
    <t>Tl(OH)4^-</t>
  </si>
  <si>
    <t>HVO4^2-</t>
  </si>
  <si>
    <t>KFREE</t>
  </si>
  <si>
    <t>A:G169..A:G169</t>
  </si>
  <si>
    <t>TlCl^2+</t>
  </si>
  <si>
    <t>NaHVO4^-</t>
  </si>
  <si>
    <t>MGFREE</t>
  </si>
  <si>
    <t>A:E169..A:E169</t>
  </si>
  <si>
    <t>TlCl2^+</t>
  </si>
  <si>
    <t>KHVO4^-</t>
  </si>
  <si>
    <t>NAFREE</t>
  </si>
  <si>
    <t>A:D169..A:D169</t>
  </si>
  <si>
    <t>TlCl3</t>
  </si>
  <si>
    <t>OHFREE</t>
  </si>
  <si>
    <t>A:C172..A:C172</t>
  </si>
  <si>
    <t>TlCl4^-</t>
  </si>
  <si>
    <t>PHFREE</t>
  </si>
  <si>
    <t>A:E184..A:E184</t>
  </si>
  <si>
    <t>Tl(SO4)^+</t>
  </si>
  <si>
    <t>PHNBS</t>
  </si>
  <si>
    <t>A:E185..A:E185</t>
  </si>
  <si>
    <t>PHSW</t>
  </si>
  <si>
    <t>A:B184..A:B184</t>
  </si>
  <si>
    <t>U^4+</t>
  </si>
  <si>
    <t>SAL</t>
  </si>
  <si>
    <t>A:B185..A:B185</t>
  </si>
  <si>
    <t>U(OH)^3+</t>
  </si>
  <si>
    <t>SO4FREE</t>
  </si>
  <si>
    <t>A:C174..A:C174</t>
  </si>
  <si>
    <t>U(OH)2^2+</t>
  </si>
  <si>
    <t>SRFREE</t>
  </si>
  <si>
    <t>A:H169..A:H169</t>
  </si>
  <si>
    <t>U(OH)3^+</t>
  </si>
  <si>
    <t>TEMP</t>
  </si>
  <si>
    <t>A:B186..A:B186</t>
  </si>
  <si>
    <t>U(OH)4</t>
  </si>
  <si>
    <t>U(OH)5^-</t>
  </si>
  <si>
    <t>UF^3+</t>
  </si>
  <si>
    <t>UF2^2+</t>
  </si>
  <si>
    <t>UF3^+</t>
  </si>
  <si>
    <t>U(SO4)^2+</t>
  </si>
  <si>
    <t>U(SO4)2</t>
  </si>
  <si>
    <t>Macro for converting the worksheet to calculations using alkalinities: alk-conv</t>
  </si>
  <si>
    <t>goto</t>
  </si>
  <si>
    <t>Sandino and Bruno, GCA 56 (1992)4135-4145, I=0 constant adjusted until LogB=8.44 at I=0.5</t>
  </si>
  <si>
    <t>UO2PO4^-</t>
  </si>
  <si>
    <t>10^U257*$PO4FREE^3; ERR</t>
  </si>
  <si>
    <t>VO4^3-</t>
  </si>
  <si>
    <t>H2VO4^-</t>
  </si>
  <si>
    <t>H3VO4</t>
  </si>
  <si>
    <t>VO2^+</t>
  </si>
  <si>
    <t>WO4^2-</t>
  </si>
  <si>
    <t>HWO4^-</t>
  </si>
  <si>
    <t>H2WO4</t>
  </si>
  <si>
    <t>Zn^2+</t>
  </si>
  <si>
    <t>Zn(OH)^+</t>
  </si>
  <si>
    <t>Zn(OH)2</t>
  </si>
  <si>
    <t>Zn(OH)3^-</t>
  </si>
  <si>
    <t>Zn(OH)4^2-</t>
  </si>
  <si>
    <t>ZnB(OH)+</t>
  </si>
  <si>
    <t>ZnB(OH)20</t>
  </si>
  <si>
    <t>van den Berg, 1984, not corrected for side reactions of Boric acid with Ca or Mg</t>
  </si>
  <si>
    <t>ZnF^+</t>
  </si>
  <si>
    <t>ZnCl^+</t>
  </si>
  <si>
    <t>ZnCl2</t>
  </si>
  <si>
    <t>ZnCl3^-</t>
  </si>
  <si>
    <t>ZnCl4^2-</t>
  </si>
  <si>
    <t>Zn(SO4)</t>
  </si>
  <si>
    <t>Zn(SO4)2^2-</t>
  </si>
  <si>
    <t>Zn(SO4)3^4-</t>
  </si>
  <si>
    <t>new constants</t>
  </si>
  <si>
    <t>Zn(SO4)4^6-</t>
  </si>
  <si>
    <t>logK</t>
  </si>
  <si>
    <t>Zn(CO3)</t>
  </si>
  <si>
    <t>Stanley+Byrne1990</t>
  </si>
  <si>
    <t>Zn(HCO3)</t>
  </si>
  <si>
    <t>aZn=</t>
  </si>
  <si>
    <t>Zr^4+</t>
  </si>
  <si>
    <t>Zr(OH)^3+</t>
  </si>
  <si>
    <t>Zr(OH)2^2+</t>
  </si>
  <si>
    <t>Zr(OH)3^+</t>
  </si>
  <si>
    <t>Zr(OH)4</t>
  </si>
  <si>
    <t>Zr(OH)5^-</t>
  </si>
  <si>
    <t>ZrF^3+</t>
  </si>
  <si>
    <t>ZrF2^2+</t>
  </si>
  <si>
    <t>ZrF3^+</t>
  </si>
  <si>
    <t>ZrF4</t>
  </si>
  <si>
    <t>ZrF5^-</t>
  </si>
  <si>
    <t>ZrF6^2-</t>
  </si>
  <si>
    <t>ZrCl^3+</t>
  </si>
  <si>
    <t>ZrCl2^2+</t>
  </si>
  <si>
    <t>ZrCl3^+</t>
  </si>
  <si>
    <t>Zr(SO4)^2+</t>
  </si>
  <si>
    <t>Zr(SO4)2</t>
  </si>
  <si>
    <t>Zr(SO4)3^2-</t>
  </si>
  <si>
    <t>variation of KH with the temperature</t>
  </si>
  <si>
    <t>Temp (ABS))</t>
  </si>
  <si>
    <t>temp (C)</t>
  </si>
  <si>
    <t>pKH</t>
  </si>
  <si>
    <t>H2CO3* solubility at constant PCO2 (PCO2=350ppm)</t>
  </si>
  <si>
    <t>pCO2xKH</t>
  </si>
  <si>
    <t>Constant definitions</t>
  </si>
  <si>
    <t>lnK'H2S =225.838-13275.3/TEMP-34.6435*@LN($TEMP)+0.3449*$SAL^0.5-0.0274*SAL   Millero 1995</t>
  </si>
  <si>
    <t>Notes</t>
  </si>
  <si>
    <t>Unprotect the sheet if you want to make changes (at your peril)</t>
  </si>
  <si>
    <t>Cite the source of this ion pairing model as being from me</t>
  </si>
  <si>
    <t>You have to press F9 to initiate each calculation</t>
  </si>
  <si>
    <r>
      <t xml:space="preserve">Only the </t>
    </r>
    <r>
      <rPr>
        <sz val="10"/>
        <color indexed="10"/>
        <rFont val="Helv"/>
        <family val="2"/>
      </rPr>
      <t>red</t>
    </r>
    <r>
      <rPr>
        <sz val="10"/>
        <rFont val="Helv"/>
        <family val="2"/>
      </rPr>
      <t xml:space="preserve"> data can be changed; black cells have been protected.</t>
    </r>
  </si>
  <si>
    <t>Cu(BOH4)+</t>
  </si>
  <si>
    <t>Names of cell ranges</t>
  </si>
  <si>
    <t>Alternative equations</t>
  </si>
  <si>
    <t>Calculation of side reaction coefficients of ligands (EDTA, NTA and others) in seawater.</t>
  </si>
  <si>
    <t>If you use this model: please refer to its source: Speciation.xls</t>
  </si>
  <si>
    <t>van den Berg, Oceanography, Liverpool University</t>
  </si>
  <si>
    <t>vandenberg@liv.ac.uk</t>
  </si>
  <si>
    <t>!</t>
  </si>
  <si>
    <t>Correction of stability constants for ionic strength</t>
  </si>
  <si>
    <t>KCaEDTA</t>
  </si>
  <si>
    <t>KMgEDTA</t>
  </si>
  <si>
    <t>Ka</t>
  </si>
  <si>
    <t>Specific logf values</t>
  </si>
  <si>
    <t>Salinity=</t>
  </si>
  <si>
    <t>z=1</t>
  </si>
  <si>
    <t>z=2</t>
  </si>
  <si>
    <t>z=3</t>
  </si>
  <si>
    <t>z=4</t>
  </si>
  <si>
    <t>total Zn (M):</t>
  </si>
  <si>
    <t>pZn</t>
  </si>
  <si>
    <t>logKCuEDTA</t>
  </si>
  <si>
    <t>EDTA'</t>
  </si>
  <si>
    <t>logaCuEDTA</t>
  </si>
  <si>
    <t>logKZnEDTA</t>
  </si>
  <si>
    <t>logaZnEDTA</t>
  </si>
  <si>
    <t>aZnEDTA</t>
  </si>
  <si>
    <t>aEDTA=1+[Ca2+]xKCaEDTA]+[H+]xKa+[Mg2+]KMgEDTA</t>
  </si>
  <si>
    <t>logK'CuEDTA</t>
  </si>
  <si>
    <t>logK'ZnEDTA</t>
  </si>
  <si>
    <t>[EDTA']=</t>
  </si>
  <si>
    <t>------------------</t>
  </si>
  <si>
    <t>logaCuEDTA=</t>
  </si>
  <si>
    <t>EDTA:</t>
  </si>
  <si>
    <t>logK correction terms</t>
  </si>
  <si>
    <t>logaZnEDTA=</t>
  </si>
  <si>
    <t>FeEDTA</t>
  </si>
  <si>
    <t>logB(FeL/FeOHL.H)=</t>
  </si>
  <si>
    <t>aFeOHL/aFeL=1/(10^7.49*[H+])</t>
  </si>
  <si>
    <t>logKFeEDTA=</t>
  </si>
  <si>
    <t>logB(FeOHL/Fe(OH)2L.H=</t>
  </si>
  <si>
    <t>aFe(OH)2L/aFeOHL=1/(10^9.41*[H+])</t>
  </si>
  <si>
    <t>logK'FeEDTA=</t>
  </si>
  <si>
    <t>overal aFeEDTA=aFeL + aFeOHL + aFe(OH)2L</t>
  </si>
  <si>
    <t>log</t>
  </si>
  <si>
    <t>EDTA</t>
  </si>
  <si>
    <t>aFeEDTA</t>
  </si>
  <si>
    <t>aFeOHL/aFeL</t>
  </si>
  <si>
    <t>aFe(OH)2L/aFe</t>
  </si>
  <si>
    <t>overal aFeEDTA</t>
  </si>
  <si>
    <t>overall logaFeEDTA</t>
  </si>
  <si>
    <t>log aFeEDTA</t>
  </si>
  <si>
    <t>Fesiderophore</t>
  </si>
  <si>
    <t>vdB K'</t>
  </si>
  <si>
    <t>Rue+Bruland K''</t>
  </si>
  <si>
    <t>Rue+Bruland K' calc using logaFe'=10.0</t>
  </si>
  <si>
    <t>logKFeL</t>
  </si>
  <si>
    <t>CL</t>
  </si>
  <si>
    <t>aFeL</t>
  </si>
  <si>
    <t>aFe'L</t>
  </si>
  <si>
    <t>CoIII</t>
  </si>
  <si>
    <t>CoII</t>
  </si>
  <si>
    <t>Ni(II)</t>
  </si>
  <si>
    <t>0.1 M; SCDb</t>
  </si>
  <si>
    <t>Zn</t>
  </si>
  <si>
    <t>logKPbEDTA</t>
  </si>
  <si>
    <t>logaPbEDTA</t>
  </si>
  <si>
    <t>logKCoEDTA</t>
  </si>
  <si>
    <t>logKNiEDTA=</t>
  </si>
  <si>
    <t>log KZnEDTA</t>
  </si>
  <si>
    <t>logK'PbEDTA</t>
  </si>
  <si>
    <t>logK'CoEDTA</t>
  </si>
  <si>
    <t>log K'NiEDTA</t>
  </si>
  <si>
    <t>log K'ZnEDTA</t>
  </si>
  <si>
    <t>logaCoEDTA</t>
  </si>
  <si>
    <t>nM EDTA</t>
  </si>
  <si>
    <t>alpha NiEDTA</t>
  </si>
  <si>
    <t>NTA</t>
  </si>
  <si>
    <t>aNTA=1+[Ca2+]K + [H+]Ka1 + [H+]^2xKa1xKa2 +[H+]^3xKa1xKa2xKa3 + [Mg2+]K + [Na+]K</t>
  </si>
  <si>
    <t>logKa1</t>
  </si>
  <si>
    <t>logKCuNTA</t>
  </si>
  <si>
    <t>logK'CuNTA</t>
  </si>
  <si>
    <t>logaNTA=</t>
  </si>
  <si>
    <t>logKa2</t>
  </si>
  <si>
    <t>logKCuNTA2</t>
  </si>
  <si>
    <t>aCuNTA=K'CuNTA[NTA] + K'CuNTA2[NTA]^2</t>
  </si>
  <si>
    <t>logKa3</t>
  </si>
  <si>
    <t>logKMgNTA</t>
  </si>
  <si>
    <t>logaCuNTA=</t>
  </si>
  <si>
    <t>logCaNTA</t>
  </si>
  <si>
    <t>aCu=</t>
  </si>
  <si>
    <t>logNaNTA</t>
  </si>
  <si>
    <t>aCu'NTA'=aCuNTA/aCu'=</t>
  </si>
  <si>
    <t>logKFeNTA=</t>
  </si>
  <si>
    <t>logK'FeNTA=</t>
  </si>
  <si>
    <t>logBFeNTA2=</t>
  </si>
  <si>
    <t>logB'FeNTA2=</t>
  </si>
  <si>
    <t>FeOHL=</t>
  </si>
  <si>
    <t>[FeL]*[H+]/10^4.1=</t>
  </si>
  <si>
    <t>aFeNTA=K'FeNTA[NTA] + B'FeNTA2[NTA]^2 + K'FeNTA[NTA]*[H+]/10^4.1 + B'FeNTA2[NTA]^2 *[H+]/10^7.8</t>
  </si>
  <si>
    <t>Fe(OH)2L=</t>
  </si>
  <si>
    <t>FeOHL*[H+]/10^7.8=</t>
  </si>
  <si>
    <t>logaFeNTAtotal=</t>
  </si>
  <si>
    <t>logaFeOHNTA=</t>
  </si>
  <si>
    <t>logaFeNTA=</t>
  </si>
  <si>
    <t>pH=</t>
  </si>
  <si>
    <t>aZnNTA=K'ZnNTA[NTA] + K'ZnNTA2[NTA]^2</t>
  </si>
  <si>
    <t>logKZnNTA</t>
  </si>
  <si>
    <t>logK'ZnNTA</t>
  </si>
  <si>
    <t>logaZnNTA=</t>
  </si>
  <si>
    <t>logKZnNTA2</t>
  </si>
  <si>
    <t>aZn'NTA'=aZnNTA/aZn'=</t>
  </si>
  <si>
    <t>Citric acid</t>
  </si>
  <si>
    <t>citrate</t>
  </si>
  <si>
    <t>aCitr=1+[Ca2+]K + [H+]Ka1 + [H+]^2xKa1xKa2 +[H+]^3xKa1xKa2xKa3 + [Mg2+]K + [Na+]K</t>
  </si>
  <si>
    <t>logaCit=</t>
  </si>
  <si>
    <t>logKCuCit</t>
  </si>
  <si>
    <t>logK'CuCit</t>
  </si>
  <si>
    <t>aCuCit=K'CuCit[Cit] + K'CuCit2[Cit]^2</t>
  </si>
  <si>
    <t>logKCuCit2</t>
  </si>
  <si>
    <t>logaCuCit=</t>
  </si>
  <si>
    <t>logKMgCit</t>
  </si>
  <si>
    <t>aCuCit=</t>
  </si>
  <si>
    <t>logCaCit</t>
  </si>
  <si>
    <t>aCu'Cit=aCuCit/aCu'=</t>
  </si>
  <si>
    <t>=[CUCIT]/[CU']</t>
  </si>
  <si>
    <t>logNaCit</t>
  </si>
  <si>
    <t>aZnCit=K'ZnCit[Cit]</t>
  </si>
  <si>
    <t>logKZnCit</t>
  </si>
  <si>
    <t>logK'ZnCit</t>
  </si>
  <si>
    <t>logaZnCit=</t>
  </si>
  <si>
    <t>aZnCit=</t>
  </si>
  <si>
    <t>aZn'Cit</t>
  </si>
  <si>
    <t>=[ZnCIT]/[Zn']</t>
  </si>
  <si>
    <t>catechol</t>
  </si>
  <si>
    <t>KMgCat=</t>
  </si>
  <si>
    <t>Ka1=</t>
  </si>
  <si>
    <t>Ka2=</t>
  </si>
  <si>
    <t>acatechol=1+[Mg2+]KMgCat+[H+]Ka1+[H+]^2*Ka1*Ka2</t>
  </si>
  <si>
    <t>K values at I=0.1</t>
  </si>
  <si>
    <t>aCat</t>
  </si>
  <si>
    <t>logaCat</t>
  </si>
  <si>
    <t>[cat]=</t>
  </si>
  <si>
    <t>aCuCat=K'CuCat*[Cat]+B'CuCat2*[Cat]^2</t>
  </si>
  <si>
    <t>logK'CuCat=logKCuCat-logaCat</t>
  </si>
  <si>
    <t>logB'CuCat2=logBCuCat2-2logaCat</t>
  </si>
  <si>
    <t>logKCuCat=</t>
  </si>
  <si>
    <t>logBCuCat2=</t>
  </si>
  <si>
    <t>logK'CuCat=</t>
  </si>
  <si>
    <t>logB'CuCat2=</t>
  </si>
  <si>
    <t>logaCuCat=</t>
  </si>
  <si>
    <t>aCuCat=</t>
  </si>
  <si>
    <t>Fe</t>
  </si>
  <si>
    <t>s21</t>
  </si>
  <si>
    <t>aFeCat=K'FeCat*[Cat]+B'FeCat2*[Cat]^2+B'FeCat3*[Cat]^3</t>
  </si>
  <si>
    <t>logB'FeCat3=logBFeCat3-3*logaCat</t>
  </si>
  <si>
    <t>C1..C1</t>
  </si>
  <si>
    <t>logK'FeCat=logKFeCat-logaCat</t>
  </si>
  <si>
    <t>logB'FeCat2=logBFeCat2-2*logaCat</t>
  </si>
  <si>
    <t>logB'FeCat3=</t>
  </si>
  <si>
    <t>H+FREE</t>
  </si>
  <si>
    <t>G1..G1</t>
  </si>
  <si>
    <t>logK'FeCat</t>
  </si>
  <si>
    <t>logB'FeCat2=</t>
  </si>
  <si>
    <t>logBFeCat3=</t>
  </si>
  <si>
    <t>E1..E1</t>
  </si>
  <si>
    <t>logKFeCat</t>
  </si>
  <si>
    <t>logBFeCat2</t>
  </si>
  <si>
    <t>I1..I1</t>
  </si>
  <si>
    <t>aFeCat=</t>
  </si>
  <si>
    <t>PH</t>
  </si>
  <si>
    <t>G4..G4</t>
  </si>
  <si>
    <t>logaFeCat=</t>
  </si>
  <si>
    <t>K1..K1</t>
  </si>
  <si>
    <t>Ni/DMG</t>
  </si>
  <si>
    <t>Co/DMG</t>
  </si>
  <si>
    <t>S=35</t>
  </si>
  <si>
    <t>CoNioxime</t>
  </si>
  <si>
    <t>logB'NiDMG2=</t>
  </si>
  <si>
    <t>logB'CoDMG2=</t>
  </si>
  <si>
    <t>logB'CoNiox2=</t>
  </si>
  <si>
    <t>at S=32.5</t>
  </si>
  <si>
    <t>aCoDMG=[DMG]^2*B'CoDMG2</t>
  </si>
  <si>
    <t>aCoNiox=[DMG]^2*B'CoNioxime2</t>
  </si>
  <si>
    <t>[DMG]=</t>
  </si>
  <si>
    <t>aCoDMG=</t>
  </si>
  <si>
    <t>aCoNiox=</t>
  </si>
  <si>
    <t>aNiDMG=[DMG]^2*B'NiDMG2</t>
  </si>
  <si>
    <t>logaCoDMG=</t>
  </si>
  <si>
    <t>logaCoNiox=</t>
  </si>
  <si>
    <t>aNiDMG=</t>
  </si>
  <si>
    <t>logaNiDMG=</t>
  </si>
  <si>
    <t>aOxine=1+[Mg2+]KMgOxine+[H+]Ka1+[H+]^2*Ka1*Ka2</t>
  </si>
  <si>
    <t>constants from Smith and Martell, 1975, V.2, I=0.1</t>
  </si>
  <si>
    <t>logKMgOxine=</t>
  </si>
  <si>
    <t>logKa1=</t>
  </si>
  <si>
    <t>logKa2=</t>
  </si>
  <si>
    <t>logaOxine=</t>
  </si>
  <si>
    <t>zinc - oxine</t>
  </si>
  <si>
    <t>logK'CuOx=logKCuOx-logaOxine=</t>
  </si>
  <si>
    <t>logK'ZnOx=logKZnOx-logaOxine=</t>
  </si>
  <si>
    <t>logB'CuOx2=logBCuOx2-2*logaOxine=</t>
  </si>
  <si>
    <t>logB'ZnOx2=logBZnOx2-2*logaOxine=</t>
  </si>
  <si>
    <t>aCuOx=K'CuOx*[Ox]+B'CuOx2*[Ox]^2=</t>
  </si>
  <si>
    <t>aZnOx=K'ZnOx*[Ox]+B'ZnOx2*[Ox]^2=</t>
  </si>
  <si>
    <t>logaCuOx=</t>
  </si>
  <si>
    <t>logaZnOx=</t>
  </si>
  <si>
    <t>lead -  oxine</t>
  </si>
  <si>
    <t>cobalt - oxine</t>
  </si>
  <si>
    <t>logK'PbOx=logKPbOx-logaOxine=</t>
  </si>
  <si>
    <t>logK'CoOx=logKCoOx-logaOxine=</t>
  </si>
  <si>
    <t>logB'PbOx2=logBPbOx2-2*logaOxine=</t>
  </si>
  <si>
    <t>logB'CoOx2=logBCoOx2-2*logaOxine=</t>
  </si>
  <si>
    <t>aPbOx=K'PbOx*[Ox]+B'PbOx2*[Ox]^2=</t>
  </si>
  <si>
    <t>aCoOx=K'CoOx*[Ox]+B'CoOx2*[Ox]^2=</t>
  </si>
  <si>
    <t>logaPbOx=</t>
  </si>
  <si>
    <t>logaCoOx=</t>
  </si>
  <si>
    <t>nickel - oxine</t>
  </si>
  <si>
    <t>iron - oxine</t>
  </si>
  <si>
    <t>logK'NiOx=logKNiOx-logaOxine=</t>
  </si>
  <si>
    <t>I=0</t>
  </si>
  <si>
    <t>logK'FeOx=logKFeOx-logaOxine=</t>
  </si>
  <si>
    <t>I=0.1</t>
  </si>
  <si>
    <t>logB'NiOx2=logBNiOx2-2*logaOxine=</t>
  </si>
  <si>
    <t>logB'FeOx2=logBFeOx2-2*logaOxine=</t>
  </si>
  <si>
    <t>aNiOx=K'NiOx*[Ox]+B'NiOx2*[Ox]^2=</t>
  </si>
  <si>
    <t>logB'FeOx3=logBFeOx3-3*logaOxine=</t>
  </si>
  <si>
    <t>I=0.5</t>
  </si>
  <si>
    <t>logaNiOx=</t>
  </si>
  <si>
    <t>aFeOx=K'FeOx*[Ox]+B'FeOx2*[Ox]^2+B'FeOx3*[Ox]^3=</t>
  </si>
  <si>
    <t>logaFeOx=</t>
  </si>
  <si>
    <t>Tropolone</t>
  </si>
  <si>
    <t>[Trop]=</t>
  </si>
  <si>
    <t>aTrop=1+[Mg2+]KMgTrop+[Ca2+]KCaTrop+[Sr2+]KSrTrop+[H+]Ka1</t>
  </si>
  <si>
    <t>constants from Smith and Martell, vol 3, I=0.1</t>
  </si>
  <si>
    <t>logKMgTrop=</t>
  </si>
  <si>
    <t>logKCaTrop=</t>
  </si>
  <si>
    <t>logKSrTrop=</t>
  </si>
  <si>
    <t>logKa=</t>
  </si>
  <si>
    <t>logaTrop=</t>
  </si>
  <si>
    <t>Using only Smith and Martell constant</t>
  </si>
  <si>
    <t>S&amp;M + determined B'CuTrop2</t>
  </si>
  <si>
    <t>CuTrop</t>
  </si>
  <si>
    <t>S=34.8</t>
  </si>
  <si>
    <t>logKCuTrop=</t>
  </si>
  <si>
    <t>logB'CuTrop2=</t>
  </si>
  <si>
    <t>logK'CuTrop=logKCuTrop-logaTrop=</t>
  </si>
  <si>
    <t>aCuTrop=K'CuTr*[Trop]+B'CuTr*[Trop]^2</t>
  </si>
  <si>
    <t>aCuTrop=K'CuTrop*[Trop]=</t>
  </si>
  <si>
    <t>aCuTrop=</t>
  </si>
  <si>
    <t>logaCuTrop=</t>
  </si>
  <si>
    <t>ZnAPDC</t>
  </si>
  <si>
    <t>logK'ZnAPDC, S=36</t>
  </si>
  <si>
    <t>[APDC]=</t>
  </si>
  <si>
    <t>aZnAPDC=[APDC]*K'ZnAPDC=</t>
  </si>
  <si>
    <t>logaZnAPDC=</t>
  </si>
  <si>
    <t>Ethylenediamine</t>
  </si>
  <si>
    <t>[en]=</t>
  </si>
  <si>
    <t>aen=1+[Mg2+]KMgen+[H+]KHen+KH2en*KHen[H+]^2</t>
  </si>
  <si>
    <t>constants from Smith &amp; Martell, V.2,(1975), I=0.5,25oC; KMgen only for I=1.4 and 30oC</t>
  </si>
  <si>
    <t>logKMgen=</t>
  </si>
  <si>
    <t>logKHen=</t>
  </si>
  <si>
    <t>logKH2en=</t>
  </si>
  <si>
    <t>logKCuen=</t>
  </si>
  <si>
    <t>logK'Cuen=</t>
  </si>
  <si>
    <t>logBCuen2=</t>
  </si>
  <si>
    <t>logB'Cuen2=</t>
  </si>
  <si>
    <t>logBCu(I)en2=</t>
  </si>
  <si>
    <t>logKZnen=</t>
  </si>
  <si>
    <t>logBZnen2=</t>
  </si>
  <si>
    <t>logBZnen3=</t>
  </si>
  <si>
    <t>logaen=</t>
  </si>
  <si>
    <t>aCuen=[en]*K'Cuen+[en]^2*B'Cuen2</t>
  </si>
  <si>
    <t>logaCuen=</t>
  </si>
  <si>
    <t>Salicylaldoxime</t>
  </si>
  <si>
    <t>logK'CuSA=</t>
  </si>
  <si>
    <t>logB'CuSA2=</t>
  </si>
  <si>
    <t>[SA]=</t>
  </si>
  <si>
    <t>aCuSA</t>
  </si>
  <si>
    <t>logaCuSA</t>
  </si>
  <si>
    <t>acetic acid</t>
  </si>
  <si>
    <t>[Acetate]</t>
  </si>
  <si>
    <t>aAc=1+[Mg2+]KMgAc+[Ca2+]KCaAc+[Sr2+]KSrAc+[H+]Ka1</t>
  </si>
  <si>
    <t>constants from Smith and Martell, vol 6 (1989) p.300; I=0.1</t>
  </si>
  <si>
    <t>logKMgAc=</t>
  </si>
  <si>
    <t>logKCaAc=</t>
  </si>
  <si>
    <t>logKSrAc=</t>
  </si>
  <si>
    <t>logaAc=</t>
  </si>
  <si>
    <t>logK'a</t>
  </si>
  <si>
    <t>logKCuAc</t>
  </si>
  <si>
    <t>logBCuAc2</t>
  </si>
  <si>
    <t>log K*Fe(NN)3 = -1.04*log(salinity) + 30.12</t>
  </si>
  <si>
    <t>logB'FeNN3 at S=38 (equation)</t>
  </si>
  <si>
    <t>[NN]</t>
  </si>
  <si>
    <t>logaFeNN3</t>
  </si>
  <si>
    <t>log B*FeNN3=</t>
  </si>
  <si>
    <t>for S=35 sea water from hydrolysis data</t>
  </si>
  <si>
    <t>logB'FeNN3=</t>
  </si>
  <si>
    <t>at pH8.0, Med SW, HEPPS data (VDB)</t>
  </si>
  <si>
    <t>when you use the data for publication purposes.</t>
  </si>
  <si>
    <r>
      <t>Fitting parameters (B and C) for activity coefficients (</t>
    </r>
    <r>
      <rPr>
        <sz val="10"/>
        <rFont val="Symbol"/>
        <family val="1"/>
      </rPr>
      <t>g</t>
    </r>
    <r>
      <rPr>
        <sz val="10"/>
        <rFont val="Helv"/>
        <family val="0"/>
      </rPr>
      <t>)</t>
    </r>
  </si>
  <si>
    <r>
      <t xml:space="preserve">and calculation of ln </t>
    </r>
    <r>
      <rPr>
        <sz val="10"/>
        <rFont val="Symbol"/>
        <family val="1"/>
      </rPr>
      <t>g</t>
    </r>
    <r>
      <rPr>
        <sz val="10"/>
        <rFont val="Helv"/>
        <family val="0"/>
      </rPr>
      <t xml:space="preserve"> and </t>
    </r>
    <r>
      <rPr>
        <sz val="10"/>
        <rFont val="Symbol"/>
        <family val="1"/>
      </rPr>
      <t>g</t>
    </r>
    <r>
      <rPr>
        <sz val="10"/>
        <rFont val="Helv"/>
        <family val="0"/>
      </rPr>
      <t>. Data from Dickson and Whitfield (1981).</t>
    </r>
  </si>
  <si>
    <r>
      <t xml:space="preserve">ln </t>
    </r>
    <r>
      <rPr>
        <sz val="10"/>
        <rFont val="Symbol"/>
        <family val="1"/>
      </rPr>
      <t>g</t>
    </r>
  </si>
  <si>
    <t>g</t>
  </si>
  <si>
    <t>pHfree</t>
  </si>
  <si>
    <t>The free concentrations of H+, Ca2+, Mg2+ and other major ions (all in blue) are from the ionpairing model</t>
  </si>
  <si>
    <t>The EDTA constants are for 0.1M ionic strength</t>
  </si>
  <si>
    <t>for FeEDTA only</t>
  </si>
  <si>
    <t>aEDTA =</t>
  </si>
  <si>
    <t>logaEDTA =</t>
  </si>
  <si>
    <t>aFe'(II)</t>
  </si>
  <si>
    <t xml:space="preserve">pH and salinity are inputted below Table </t>
  </si>
  <si>
    <t>(Gledhill and van den Berg)</t>
  </si>
  <si>
    <t>1N2N</t>
  </si>
  <si>
    <t>Siderophores</t>
  </si>
  <si>
    <t>DMG</t>
  </si>
  <si>
    <t>oxine</t>
  </si>
  <si>
    <t>APDC</t>
  </si>
  <si>
    <t>Data from Campos and van den Berg (1994)</t>
  </si>
  <si>
    <t>aCitr =</t>
  </si>
  <si>
    <t xml:space="preserve">aNTA = </t>
  </si>
  <si>
    <t>Concentrations in red can be changed on this sheet</t>
  </si>
  <si>
    <t>M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</si>
</sst>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E+00"/>
    <numFmt numFmtId="176" formatCode="0.0000"/>
    <numFmt numFmtId="177" formatCode="0.000000"/>
    <numFmt numFmtId="178" formatCode="0.0E+00"/>
    <numFmt numFmtId="179" formatCode="0E+00"/>
  </numFmts>
  <fonts count="1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Helv"/>
      <family val="2"/>
    </font>
    <font>
      <b/>
      <sz val="10"/>
      <name val="Helv"/>
      <family val="2"/>
    </font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Arial Special G1"/>
      <family val="0"/>
    </font>
    <font>
      <u val="single"/>
      <sz val="8.7"/>
      <color indexed="12"/>
      <name val="Arial Special G1"/>
      <family val="0"/>
    </font>
    <font>
      <b/>
      <u val="single"/>
      <sz val="12"/>
      <color indexed="12"/>
      <name val="Arial Special G1"/>
      <family val="0"/>
    </font>
    <font>
      <sz val="8"/>
      <name val="Arial"/>
      <family val="0"/>
    </font>
    <font>
      <sz val="10"/>
      <name val="Arial Special G1"/>
      <family val="0"/>
    </font>
    <font>
      <sz val="10"/>
      <name val="Times New Roman"/>
      <family val="0"/>
    </font>
    <font>
      <sz val="10"/>
      <name val="Symbol"/>
      <family val="1"/>
    </font>
    <font>
      <b/>
      <sz val="10"/>
      <color indexed="12"/>
      <name val="Arial Special G1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7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right"/>
    </xf>
    <xf numFmtId="1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" fontId="0" fillId="0" borderId="0" xfId="0" applyNumberFormat="1" applyAlignment="1">
      <alignment/>
    </xf>
    <xf numFmtId="176" fontId="0" fillId="0" borderId="0" xfId="0" applyNumberFormat="1" applyAlignment="1">
      <alignment/>
    </xf>
    <xf numFmtId="174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5" fontId="0" fillId="0" borderId="0" xfId="0" applyNumberFormat="1" applyFont="1" applyAlignment="1">
      <alignment horizontal="center"/>
    </xf>
    <xf numFmtId="11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178" fontId="0" fillId="0" borderId="0" xfId="0" applyNumberFormat="1" applyAlignment="1">
      <alignment/>
    </xf>
    <xf numFmtId="175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15" applyNumberFormat="1" applyFont="1" applyAlignment="1">
      <alignment/>
    </xf>
    <xf numFmtId="0" fontId="11" fillId="0" borderId="0" xfId="15" applyNumberFormat="1" applyFont="1" applyAlignment="1">
      <alignment/>
    </xf>
    <xf numFmtId="0" fontId="1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11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173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179" fontId="6" fillId="0" borderId="0" xfId="0" applyNumberFormat="1" applyFont="1" applyAlignment="1">
      <alignment horizontal="center"/>
    </xf>
    <xf numFmtId="1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/>
    </xf>
    <xf numFmtId="179" fontId="1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176" fontId="16" fillId="0" borderId="0" xfId="0" applyNumberFormat="1" applyFont="1" applyAlignment="1">
      <alignment/>
    </xf>
    <xf numFmtId="11" fontId="7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73" fontId="17" fillId="0" borderId="0" xfId="0" applyNumberFormat="1" applyFont="1" applyAlignment="1">
      <alignment/>
    </xf>
    <xf numFmtId="179" fontId="17" fillId="0" borderId="0" xfId="0" applyNumberFormat="1" applyFont="1" applyAlignment="1">
      <alignment horizontal="center"/>
    </xf>
    <xf numFmtId="11" fontId="17" fillId="0" borderId="0" xfId="0" applyNumberFormat="1" applyFont="1" applyAlignment="1">
      <alignment horizontal="center"/>
    </xf>
    <xf numFmtId="1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79" fontId="17" fillId="0" borderId="0" xfId="0" applyNumberFormat="1" applyFont="1" applyAlignment="1">
      <alignment/>
    </xf>
    <xf numFmtId="178" fontId="17" fillId="0" borderId="0" xfId="0" applyNumberFormat="1" applyFont="1" applyAlignment="1">
      <alignment/>
    </xf>
    <xf numFmtId="2" fontId="7" fillId="0" borderId="0" xfId="0" applyNumberFormat="1" applyFont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andenberg@liv.ac.uk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7"/>
  <sheetViews>
    <sheetView showOutlineSymbols="0" workbookViewId="0" topLeftCell="A167">
      <selection activeCell="B193" sqref="B193"/>
    </sheetView>
  </sheetViews>
  <sheetFormatPr defaultColWidth="9.140625" defaultRowHeight="12.75"/>
  <cols>
    <col min="1" max="1" width="9.7109375" style="0" customWidth="1"/>
    <col min="2" max="3" width="13.7109375" style="0" customWidth="1"/>
    <col min="4" max="4" width="10.7109375" style="0" customWidth="1"/>
    <col min="5" max="7" width="12.7109375" style="0" customWidth="1"/>
    <col min="8" max="8" width="13.7109375" style="0" customWidth="1"/>
    <col min="9" max="9" width="8.7109375" style="0" customWidth="1"/>
    <col min="10" max="14" width="10.7109375" style="0" customWidth="1"/>
    <col min="15" max="15" width="14.7109375" style="0" customWidth="1"/>
    <col min="16" max="16" width="8.7109375" style="0" customWidth="1"/>
    <col min="17" max="17" width="4.7109375" style="0" customWidth="1"/>
    <col min="18" max="18" width="2.57421875" style="0" customWidth="1"/>
    <col min="19" max="19" width="6.00390625" style="0" customWidth="1"/>
    <col min="20" max="20" width="3.7109375" style="0" customWidth="1"/>
    <col min="21" max="21" width="7.7109375" style="0" customWidth="1"/>
    <col min="22" max="22" width="10.7109375" style="0" customWidth="1"/>
    <col min="23" max="24" width="7.7109375" style="0" customWidth="1"/>
    <col min="25" max="25" width="6.7109375" style="0" customWidth="1"/>
    <col min="26" max="31" width="10.7109375" style="0" customWidth="1"/>
    <col min="32" max="32" width="13.7109375" style="0" customWidth="1"/>
    <col min="33" max="16384" width="10.7109375" style="0" customWidth="1"/>
  </cols>
  <sheetData>
    <row r="1" ht="12">
      <c r="A1" s="36" t="s">
        <v>0</v>
      </c>
    </row>
    <row r="2" ht="12">
      <c r="A2" s="1" t="s">
        <v>3</v>
      </c>
    </row>
    <row r="4" ht="12">
      <c r="B4" s="35" t="s">
        <v>642</v>
      </c>
    </row>
    <row r="5" spans="1:2" ht="12">
      <c r="A5">
        <v>1</v>
      </c>
      <c r="B5" s="33" t="s">
        <v>646</v>
      </c>
    </row>
    <row r="6" spans="1:2" ht="12">
      <c r="A6">
        <v>2</v>
      </c>
      <c r="B6" s="33" t="s">
        <v>643</v>
      </c>
    </row>
    <row r="7" spans="1:2" ht="12">
      <c r="A7">
        <v>3</v>
      </c>
      <c r="B7" s="33" t="s">
        <v>644</v>
      </c>
    </row>
    <row r="8" spans="2:6" ht="12">
      <c r="B8" s="33" t="s">
        <v>945</v>
      </c>
      <c r="F8" s="1"/>
    </row>
    <row r="9" spans="1:2" ht="12">
      <c r="A9">
        <v>4</v>
      </c>
      <c r="B9" s="33" t="s">
        <v>645</v>
      </c>
    </row>
    <row r="10" spans="1:2" ht="12">
      <c r="A10">
        <v>5</v>
      </c>
      <c r="B10" s="34" t="s">
        <v>957</v>
      </c>
    </row>
    <row r="11" spans="1:3" ht="12">
      <c r="A11" s="2" t="s">
        <v>10</v>
      </c>
      <c r="B11" s="3" t="s">
        <v>11</v>
      </c>
      <c r="C11">
        <f>SAL</f>
        <v>0.2</v>
      </c>
    </row>
    <row r="12" spans="2:36" ht="12">
      <c r="B12" s="3" t="s">
        <v>23</v>
      </c>
      <c r="C12">
        <f>PHSW</f>
        <v>8</v>
      </c>
      <c r="D12" s="3" t="s">
        <v>24</v>
      </c>
      <c r="E12" s="6">
        <f>10^-PHSW</f>
        <v>1E-08</v>
      </c>
      <c r="AJ12" s="8"/>
    </row>
    <row r="13" spans="4:36" ht="12">
      <c r="D13" s="3" t="s">
        <v>28</v>
      </c>
      <c r="E13" s="6">
        <f>10^-PHFREE</f>
        <v>9.875937849307112E-09</v>
      </c>
      <c r="AJ13" s="8"/>
    </row>
    <row r="14" spans="2:36" ht="12">
      <c r="B14" s="2" t="s">
        <v>30</v>
      </c>
      <c r="AG14" s="9"/>
      <c r="AH14" s="6"/>
      <c r="AI14" s="6"/>
      <c r="AJ14" s="8"/>
    </row>
    <row r="15" spans="1:36" ht="12">
      <c r="A15" s="2" t="s">
        <v>32</v>
      </c>
      <c r="B15" s="2" t="s">
        <v>33</v>
      </c>
      <c r="C15" s="2" t="s">
        <v>34</v>
      </c>
      <c r="AG15" s="9"/>
      <c r="AH15" s="6"/>
      <c r="AI15" s="6"/>
      <c r="AJ15" s="8"/>
    </row>
    <row r="16" spans="1:36" ht="12">
      <c r="A16" s="2" t="s">
        <v>36</v>
      </c>
      <c r="B16" s="2" t="s">
        <v>37</v>
      </c>
      <c r="C16" s="2" t="s">
        <v>38</v>
      </c>
      <c r="D16" s="2" t="s">
        <v>39</v>
      </c>
      <c r="E16" s="10"/>
      <c r="AG16" s="9"/>
      <c r="AH16" s="6"/>
      <c r="AI16" s="6"/>
      <c r="AJ16" s="8"/>
    </row>
    <row r="17" spans="1:36" ht="12">
      <c r="A17" s="2" t="s">
        <v>41</v>
      </c>
      <c r="C17" s="3" t="s">
        <v>42</v>
      </c>
      <c r="D17">
        <f>$C$11</f>
        <v>0.2</v>
      </c>
      <c r="AG17" s="9"/>
      <c r="AH17" s="6"/>
      <c r="AI17" s="6"/>
      <c r="AJ17" s="8"/>
    </row>
    <row r="18" spans="1:36" ht="12">
      <c r="A18" s="2" t="s">
        <v>44</v>
      </c>
      <c r="C18" s="9">
        <f>35/1.80655</f>
        <v>19.37394481193435</v>
      </c>
      <c r="D18" s="9">
        <f>SAL/1.80655</f>
        <v>0.11070825606819629</v>
      </c>
      <c r="E18" s="6"/>
      <c r="F18" s="6"/>
      <c r="AG18" s="9"/>
      <c r="AH18" s="6"/>
      <c r="AI18" s="6"/>
      <c r="AJ18" s="8"/>
    </row>
    <row r="19" spans="1:36" ht="12">
      <c r="A19" s="2" t="s">
        <v>46</v>
      </c>
      <c r="B19">
        <v>0</v>
      </c>
      <c r="C19" s="6">
        <f>HSW</f>
        <v>1E-08</v>
      </c>
      <c r="D19" s="6">
        <f>10^-($C$12)</f>
        <v>1E-08</v>
      </c>
      <c r="AG19" s="9"/>
      <c r="AH19" s="6"/>
      <c r="AI19" s="6"/>
      <c r="AJ19" s="8"/>
    </row>
    <row r="20" spans="1:36" ht="12">
      <c r="A20" s="2" t="s">
        <v>48</v>
      </c>
      <c r="B20">
        <v>0</v>
      </c>
      <c r="C20" s="29">
        <v>0.4686</v>
      </c>
      <c r="D20" s="11">
        <f aca="true" t="shared" si="0" ref="D20:D30">(C20-B20)*$D$17/35+B20</f>
        <v>0.002677714285714286</v>
      </c>
      <c r="F20" s="34"/>
      <c r="AG20" s="9"/>
      <c r="AH20" s="6"/>
      <c r="AI20" s="6"/>
      <c r="AJ20" s="8"/>
    </row>
    <row r="21" spans="1:36" ht="12">
      <c r="A21" s="2" t="s">
        <v>50</v>
      </c>
      <c r="B21">
        <v>0</v>
      </c>
      <c r="C21" s="29">
        <v>0.05324</v>
      </c>
      <c r="D21" s="11">
        <f t="shared" si="0"/>
        <v>0.0003042285714285715</v>
      </c>
      <c r="AG21" s="9"/>
      <c r="AH21" s="6"/>
      <c r="AI21" s="6"/>
      <c r="AJ21" s="8"/>
    </row>
    <row r="22" spans="1:36" ht="12">
      <c r="A22" s="2" t="s">
        <v>52</v>
      </c>
      <c r="B22">
        <v>0</v>
      </c>
      <c r="C22" s="29">
        <v>0.010279</v>
      </c>
      <c r="D22" s="11">
        <f t="shared" si="0"/>
        <v>5.873714285714286E-05</v>
      </c>
      <c r="AG22" s="9"/>
      <c r="AH22" s="6"/>
      <c r="AI22" s="6"/>
      <c r="AJ22" s="8"/>
    </row>
    <row r="23" spans="1:36" ht="12">
      <c r="A23" s="2" t="s">
        <v>54</v>
      </c>
      <c r="B23">
        <v>0</v>
      </c>
      <c r="C23" s="29">
        <v>0.0102</v>
      </c>
      <c r="D23" s="11">
        <f t="shared" si="0"/>
        <v>5.828571428571429E-05</v>
      </c>
      <c r="AG23" s="9"/>
      <c r="AH23" s="6"/>
      <c r="AI23" s="6"/>
      <c r="AJ23" s="8"/>
    </row>
    <row r="24" spans="1:36" ht="12">
      <c r="A24" s="2" t="s">
        <v>56</v>
      </c>
      <c r="B24">
        <v>0</v>
      </c>
      <c r="C24" s="29">
        <v>9.1E-05</v>
      </c>
      <c r="D24" s="11">
        <f t="shared" si="0"/>
        <v>5.200000000000001E-07</v>
      </c>
      <c r="AG24" s="9"/>
      <c r="AH24" s="6"/>
      <c r="AI24" s="9"/>
      <c r="AJ24" s="8"/>
    </row>
    <row r="25" spans="1:4" ht="12">
      <c r="A25" s="2" t="s">
        <v>58</v>
      </c>
      <c r="B25">
        <v>0</v>
      </c>
      <c r="C25" s="29">
        <v>0.5456</v>
      </c>
      <c r="D25" s="11">
        <f t="shared" si="0"/>
        <v>0.0031177142857142857</v>
      </c>
    </row>
    <row r="26" spans="1:36" ht="12">
      <c r="A26" s="2" t="s">
        <v>60</v>
      </c>
      <c r="B26">
        <v>0</v>
      </c>
      <c r="C26" s="29">
        <v>0.000839</v>
      </c>
      <c r="D26" s="11">
        <f t="shared" si="0"/>
        <v>4.794285714285715E-06</v>
      </c>
      <c r="AG26" s="9"/>
      <c r="AH26" s="12"/>
      <c r="AI26" s="9"/>
      <c r="AJ26" s="8"/>
    </row>
    <row r="27" spans="1:36" ht="12">
      <c r="A27" s="2" t="s">
        <v>62</v>
      </c>
      <c r="B27">
        <v>0</v>
      </c>
      <c r="C27" s="29">
        <v>0.02824</v>
      </c>
      <c r="D27" s="11">
        <f t="shared" si="0"/>
        <v>0.0001613714285714286</v>
      </c>
      <c r="AG27" s="9"/>
      <c r="AH27" s="6"/>
      <c r="AI27" s="9"/>
      <c r="AJ27" s="8"/>
    </row>
    <row r="28" spans="1:36" ht="12">
      <c r="A28" s="2" t="s">
        <v>64</v>
      </c>
      <c r="B28">
        <v>0</v>
      </c>
      <c r="C28" s="33">
        <f>CT</f>
        <v>0.002378730869801002</v>
      </c>
      <c r="D28" s="11">
        <f t="shared" si="0"/>
        <v>1.3592747827434297E-05</v>
      </c>
      <c r="AG28" s="9"/>
      <c r="AH28" s="6"/>
      <c r="AI28" s="9"/>
      <c r="AJ28" s="8"/>
    </row>
    <row r="29" spans="1:36" ht="12">
      <c r="A29" s="2" t="s">
        <v>66</v>
      </c>
      <c r="B29">
        <v>0</v>
      </c>
      <c r="C29" s="29">
        <v>0.00037</v>
      </c>
      <c r="D29" s="11">
        <f t="shared" si="0"/>
        <v>2.1142857142857147E-06</v>
      </c>
      <c r="AG29" s="9"/>
      <c r="AH29" s="6"/>
      <c r="AI29" s="9"/>
      <c r="AJ29" s="8"/>
    </row>
    <row r="30" spans="1:36" ht="12">
      <c r="A30" s="2" t="s">
        <v>68</v>
      </c>
      <c r="B30">
        <v>0</v>
      </c>
      <c r="C30" s="29">
        <v>6.8E-05</v>
      </c>
      <c r="D30" s="11">
        <f t="shared" si="0"/>
        <v>3.885714285714286E-07</v>
      </c>
      <c r="AG30" s="9"/>
      <c r="AH30" s="6"/>
      <c r="AI30" s="9"/>
      <c r="AJ30" s="8"/>
    </row>
    <row r="31" spans="3:36" ht="12">
      <c r="C31" s="32"/>
      <c r="AG31" s="9"/>
      <c r="AH31" s="6"/>
      <c r="AJ31" s="8"/>
    </row>
    <row r="32" spans="1:36" ht="12">
      <c r="A32" s="2" t="s">
        <v>71</v>
      </c>
      <c r="C32" s="32">
        <v>1E-06</v>
      </c>
      <c r="AG32" s="9"/>
      <c r="AH32" s="6"/>
      <c r="AJ32" s="8"/>
    </row>
    <row r="33" spans="33:36" ht="12">
      <c r="AG33" s="9"/>
      <c r="AH33" s="6"/>
      <c r="AJ33" s="8"/>
    </row>
    <row r="34" spans="33:36" ht="12">
      <c r="AG34" s="9"/>
      <c r="AH34" s="6"/>
      <c r="AJ34" s="8"/>
    </row>
    <row r="35" spans="1:36" ht="12">
      <c r="A35" s="2" t="s">
        <v>75</v>
      </c>
      <c r="AG35" s="9"/>
      <c r="AH35" s="6"/>
      <c r="AJ35" s="8"/>
    </row>
    <row r="36" spans="1:36" ht="12.75">
      <c r="A36" s="28" t="s">
        <v>946</v>
      </c>
      <c r="AG36" s="9"/>
      <c r="AH36" s="6"/>
      <c r="AJ36" s="8"/>
    </row>
    <row r="37" spans="1:36" ht="12.75">
      <c r="A37" s="28" t="s">
        <v>947</v>
      </c>
      <c r="AG37" s="9"/>
      <c r="AH37" s="6"/>
      <c r="AI37" s="9"/>
      <c r="AJ37" s="8"/>
    </row>
    <row r="38" spans="1:3" ht="12">
      <c r="A38" s="3" t="s">
        <v>79</v>
      </c>
      <c r="C38" s="13">
        <f>IEFF</f>
        <v>0.005111126344776957</v>
      </c>
    </row>
    <row r="39" spans="1:6" ht="12.75">
      <c r="A39" s="2" t="s">
        <v>80</v>
      </c>
      <c r="B39" s="7" t="s">
        <v>14</v>
      </c>
      <c r="C39" s="7" t="s">
        <v>16</v>
      </c>
      <c r="D39" s="3" t="s">
        <v>81</v>
      </c>
      <c r="E39" s="70" t="s">
        <v>948</v>
      </c>
      <c r="F39" s="71" t="s">
        <v>949</v>
      </c>
    </row>
    <row r="40" spans="1:6" ht="12">
      <c r="A40" s="2" t="s">
        <v>85</v>
      </c>
      <c r="B40">
        <v>1.67</v>
      </c>
      <c r="C40">
        <v>0.525</v>
      </c>
      <c r="D40">
        <v>1</v>
      </c>
      <c r="E40" s="13">
        <f aca="true" t="shared" si="1" ref="E40:E54">-1.176*D40^2*$C$38^0.5/(1+B40*$C$38^0.5)+C40*$C$38</f>
        <v>-0.07242418851638356</v>
      </c>
      <c r="F40" s="13">
        <f aca="true" t="shared" si="2" ref="F40:F54">EXP(E40)</f>
        <v>0.9301362589971823</v>
      </c>
    </row>
    <row r="41" spans="1:6" ht="12">
      <c r="A41" s="2" t="s">
        <v>87</v>
      </c>
      <c r="B41">
        <v>1.541</v>
      </c>
      <c r="C41">
        <v>0.126</v>
      </c>
      <c r="D41">
        <v>1</v>
      </c>
      <c r="E41" s="13">
        <f t="shared" si="1"/>
        <v>-0.07508746709499989</v>
      </c>
      <c r="F41" s="13">
        <f t="shared" si="2"/>
        <v>0.9276623428496426</v>
      </c>
    </row>
    <row r="42" spans="1:6" ht="12">
      <c r="A42" s="2" t="s">
        <v>89</v>
      </c>
      <c r="B42">
        <v>1.79</v>
      </c>
      <c r="C42">
        <v>0.454</v>
      </c>
      <c r="D42">
        <v>2</v>
      </c>
      <c r="E42" s="13">
        <f t="shared" si="1"/>
        <v>-0.2958246737552122</v>
      </c>
      <c r="F42" s="13">
        <f t="shared" si="2"/>
        <v>0.7439178449092724</v>
      </c>
    </row>
    <row r="43" spans="1:6" ht="12">
      <c r="A43" s="2" t="s">
        <v>91</v>
      </c>
      <c r="B43">
        <v>1.729</v>
      </c>
      <c r="C43">
        <v>0.321</v>
      </c>
      <c r="D43">
        <v>2</v>
      </c>
      <c r="E43" s="13">
        <f t="shared" si="1"/>
        <v>-0.29766163189352435</v>
      </c>
      <c r="F43" s="13">
        <f t="shared" si="2"/>
        <v>0.742552553345477</v>
      </c>
    </row>
    <row r="44" spans="1:6" ht="12">
      <c r="A44" s="2" t="s">
        <v>93</v>
      </c>
      <c r="B44">
        <v>1.265</v>
      </c>
      <c r="C44">
        <v>0.014</v>
      </c>
      <c r="D44">
        <v>1</v>
      </c>
      <c r="E44" s="13">
        <f t="shared" si="1"/>
        <v>-0.07703029942338258</v>
      </c>
      <c r="F44" s="13">
        <f t="shared" si="2"/>
        <v>0.9258618001028199</v>
      </c>
    </row>
    <row r="45" spans="1:6" ht="12">
      <c r="A45" s="2" t="s">
        <v>95</v>
      </c>
      <c r="B45">
        <v>1.781</v>
      </c>
      <c r="C45">
        <v>0.268</v>
      </c>
      <c r="D45">
        <v>2</v>
      </c>
      <c r="E45" s="13">
        <f t="shared" si="1"/>
        <v>-0.29694551146411396</v>
      </c>
      <c r="F45" s="13">
        <f t="shared" si="2"/>
        <v>0.7430845008453414</v>
      </c>
    </row>
    <row r="46" spans="1:6" ht="12">
      <c r="A46" s="2" t="s">
        <v>97</v>
      </c>
      <c r="B46">
        <v>1.265</v>
      </c>
      <c r="C46">
        <v>0.014</v>
      </c>
      <c r="D46">
        <v>1</v>
      </c>
      <c r="E46" s="13">
        <f t="shared" si="1"/>
        <v>-0.07703029942338258</v>
      </c>
      <c r="F46" s="13">
        <f t="shared" si="2"/>
        <v>0.9258618001028199</v>
      </c>
    </row>
    <row r="47" spans="1:6" ht="12">
      <c r="A47" s="2" t="s">
        <v>99</v>
      </c>
      <c r="B47">
        <v>1.376</v>
      </c>
      <c r="C47">
        <v>0.033</v>
      </c>
      <c r="D47">
        <v>1</v>
      </c>
      <c r="E47" s="13">
        <f t="shared" si="1"/>
        <v>-0.07637613543966924</v>
      </c>
      <c r="F47" s="13">
        <f t="shared" si="2"/>
        <v>0.9264676636918071</v>
      </c>
    </row>
    <row r="48" spans="1:36" ht="12">
      <c r="A48" s="2" t="s">
        <v>101</v>
      </c>
      <c r="B48">
        <v>0.988</v>
      </c>
      <c r="C48">
        <v>0.475</v>
      </c>
      <c r="D48">
        <v>1</v>
      </c>
      <c r="E48" s="13">
        <f t="shared" si="1"/>
        <v>-0.07610020892223789</v>
      </c>
      <c r="F48" s="13">
        <f t="shared" si="2"/>
        <v>0.9267233359595194</v>
      </c>
      <c r="AI48" s="9"/>
      <c r="AJ48" s="8"/>
    </row>
    <row r="49" spans="1:36" ht="12">
      <c r="A49" s="2" t="s">
        <v>103</v>
      </c>
      <c r="B49">
        <v>1.347</v>
      </c>
      <c r="C49">
        <v>-0.088</v>
      </c>
      <c r="D49">
        <v>1</v>
      </c>
      <c r="E49" s="13">
        <f t="shared" si="1"/>
        <v>-0.07713933974705944</v>
      </c>
      <c r="F49" s="13">
        <f t="shared" si="2"/>
        <v>0.9257608493364089</v>
      </c>
      <c r="AI49" s="9"/>
      <c r="AJ49" s="8"/>
    </row>
    <row r="50" spans="1:36" ht="12">
      <c r="A50" s="2" t="s">
        <v>105</v>
      </c>
      <c r="B50">
        <v>2.876</v>
      </c>
      <c r="C50">
        <v>-0.598</v>
      </c>
      <c r="D50">
        <v>2</v>
      </c>
      <c r="E50" s="13">
        <f t="shared" si="1"/>
        <v>-0.2820012571880966</v>
      </c>
      <c r="F50" s="13">
        <f t="shared" si="2"/>
        <v>0.7542727362697872</v>
      </c>
      <c r="AI50" s="9"/>
      <c r="AJ50" s="8"/>
    </row>
    <row r="51" spans="1:36" ht="12">
      <c r="A51" s="2" t="s">
        <v>107</v>
      </c>
      <c r="B51">
        <v>0.38</v>
      </c>
      <c r="C51">
        <v>0.43</v>
      </c>
      <c r="D51">
        <v>1</v>
      </c>
      <c r="E51" s="13">
        <f t="shared" si="1"/>
        <v>-0.0796533242698849</v>
      </c>
      <c r="F51" s="13">
        <f t="shared" si="2"/>
        <v>0.9234364238983473</v>
      </c>
      <c r="AI51" s="9"/>
      <c r="AJ51" s="8"/>
    </row>
    <row r="52" spans="1:36" ht="12">
      <c r="A52" s="2" t="s">
        <v>109</v>
      </c>
      <c r="B52">
        <v>1.811</v>
      </c>
      <c r="C52">
        <v>-0.064</v>
      </c>
      <c r="D52">
        <v>2</v>
      </c>
      <c r="E52" s="13">
        <f t="shared" si="1"/>
        <v>-0.29807593202692123</v>
      </c>
      <c r="F52" s="13">
        <f t="shared" si="2"/>
        <v>0.7422449774423401</v>
      </c>
      <c r="AI52" s="9"/>
      <c r="AJ52" s="8"/>
    </row>
    <row r="53" spans="1:36" ht="12">
      <c r="A53" s="2" t="s">
        <v>111</v>
      </c>
      <c r="B53">
        <v>1.438</v>
      </c>
      <c r="C53">
        <v>0.011</v>
      </c>
      <c r="D53">
        <v>1</v>
      </c>
      <c r="E53" s="13">
        <f t="shared" si="1"/>
        <v>-0.07618092328848895</v>
      </c>
      <c r="F53" s="13">
        <f t="shared" si="2"/>
        <v>0.9266485390913989</v>
      </c>
      <c r="AI53" s="9"/>
      <c r="AJ53" s="8"/>
    </row>
    <row r="54" spans="1:36" ht="12">
      <c r="A54" s="2" t="s">
        <v>114</v>
      </c>
      <c r="B54">
        <v>1.234</v>
      </c>
      <c r="C54">
        <v>0.153</v>
      </c>
      <c r="D54">
        <v>1</v>
      </c>
      <c r="E54" s="13">
        <f t="shared" si="1"/>
        <v>-0.07647687742927035</v>
      </c>
      <c r="F54" s="13">
        <f t="shared" si="2"/>
        <v>0.9263743341972441</v>
      </c>
      <c r="AI54" s="9"/>
      <c r="AJ54" s="8"/>
    </row>
    <row r="55" spans="1:6" ht="12">
      <c r="A55" s="2" t="s">
        <v>116</v>
      </c>
      <c r="E55" s="13"/>
      <c r="F55" s="13"/>
    </row>
    <row r="56" spans="1:36" ht="12">
      <c r="A56" s="7" t="s">
        <v>117</v>
      </c>
      <c r="B56">
        <v>0</v>
      </c>
      <c r="C56">
        <v>-0.3</v>
      </c>
      <c r="E56" s="13"/>
      <c r="F56" s="13"/>
      <c r="AI56" s="9"/>
      <c r="AJ56" s="8"/>
    </row>
    <row r="57" spans="1:36" ht="12">
      <c r="A57" s="7" t="s">
        <v>119</v>
      </c>
      <c r="B57">
        <v>0</v>
      </c>
      <c r="C57">
        <v>-1.2</v>
      </c>
      <c r="E57" s="13"/>
      <c r="F57" s="13"/>
      <c r="AI57" s="9"/>
      <c r="AJ57" s="8"/>
    </row>
    <row r="58" spans="1:6" ht="12">
      <c r="A58" s="7" t="s">
        <v>121</v>
      </c>
      <c r="B58">
        <v>1.265</v>
      </c>
      <c r="C58">
        <v>0.014</v>
      </c>
      <c r="E58" s="13"/>
      <c r="F58" s="13"/>
    </row>
    <row r="59" spans="1:36" ht="12">
      <c r="A59" s="2" t="s">
        <v>123</v>
      </c>
      <c r="E59" s="13"/>
      <c r="F59" s="13"/>
      <c r="AI59" s="9"/>
      <c r="AJ59" s="8"/>
    </row>
    <row r="60" spans="1:36" ht="12">
      <c r="A60" s="2" t="s">
        <v>125</v>
      </c>
      <c r="B60">
        <v>0</v>
      </c>
      <c r="C60">
        <v>0.22</v>
      </c>
      <c r="D60">
        <v>0</v>
      </c>
      <c r="E60" s="13">
        <f>-1.176*D60^2*$C$38^0.5/(1+B60*$C$38^0.5)+C60*$C$38</f>
        <v>0.0011244477958509305</v>
      </c>
      <c r="F60" s="13">
        <f>EXP(E60)</f>
        <v>1.0011250802242957</v>
      </c>
      <c r="AI60" s="9"/>
      <c r="AJ60" s="8"/>
    </row>
    <row r="61" spans="1:36" ht="12">
      <c r="A61" s="2" t="s">
        <v>127</v>
      </c>
      <c r="B61">
        <v>0</v>
      </c>
      <c r="C61">
        <v>0.02</v>
      </c>
      <c r="D61">
        <v>0</v>
      </c>
      <c r="E61" s="13">
        <f>-1.176*D61^2*$C$38^0.5/(1+B61*$C$38^0.5)+C61*$C$38</f>
        <v>0.00010222252689553913</v>
      </c>
      <c r="F61" s="13">
        <f>EXP(E61)</f>
        <v>1.0001022277517961</v>
      </c>
      <c r="AI61" s="9"/>
      <c r="AJ61" s="8"/>
    </row>
    <row r="62" spans="1:36" ht="12">
      <c r="A62" s="2" t="s">
        <v>129</v>
      </c>
      <c r="B62">
        <v>0</v>
      </c>
      <c r="C62">
        <v>0.2</v>
      </c>
      <c r="D62">
        <v>0</v>
      </c>
      <c r="E62" s="13">
        <f>-1.176*D62^2*$C$38^0.5/(1+B62*$C$38^0.5)+C62*$C$38</f>
        <v>0.0010222252689553915</v>
      </c>
      <c r="F62" s="13">
        <f>EXP(E62)</f>
        <v>1.0010227479192793</v>
      </c>
      <c r="AI62" s="9"/>
      <c r="AJ62" s="8"/>
    </row>
    <row r="63" spans="35:36" ht="12">
      <c r="AI63" s="9"/>
      <c r="AJ63" s="8"/>
    </row>
    <row r="64" spans="1:36" ht="12">
      <c r="A64" s="2" t="s">
        <v>132</v>
      </c>
      <c r="AI64" s="9"/>
      <c r="AJ64" s="8"/>
    </row>
    <row r="65" spans="1:36" ht="12">
      <c r="A65" s="2" t="s">
        <v>134</v>
      </c>
      <c r="AG65" s="9"/>
      <c r="AH65" s="6"/>
      <c r="AI65" s="9"/>
      <c r="AJ65" s="8"/>
    </row>
    <row r="66" spans="1:36" ht="12">
      <c r="A66" s="2" t="s">
        <v>135</v>
      </c>
      <c r="AG66" s="9"/>
      <c r="AH66" s="6"/>
      <c r="AI66" s="9"/>
      <c r="AJ66" s="8"/>
    </row>
    <row r="67" spans="1:36" ht="12">
      <c r="A67" s="2" t="s">
        <v>137</v>
      </c>
      <c r="AG67" s="9"/>
      <c r="AH67" s="6"/>
      <c r="AI67" s="9"/>
      <c r="AJ67" s="8"/>
    </row>
    <row r="68" spans="1:36" ht="12">
      <c r="A68" s="2" t="s">
        <v>139</v>
      </c>
      <c r="AG68" s="9"/>
      <c r="AH68" s="6"/>
      <c r="AI68" s="9"/>
      <c r="AJ68" s="8"/>
    </row>
    <row r="69" spans="1:34" ht="12">
      <c r="A69" s="2" t="s">
        <v>80</v>
      </c>
      <c r="B69" s="3" t="s">
        <v>81</v>
      </c>
      <c r="C69" s="7" t="s">
        <v>82</v>
      </c>
      <c r="D69" s="7" t="s">
        <v>83</v>
      </c>
      <c r="E69" s="7" t="s">
        <v>141</v>
      </c>
      <c r="F69" s="2" t="s">
        <v>142</v>
      </c>
      <c r="G69" s="3" t="s">
        <v>143</v>
      </c>
      <c r="H69" s="3" t="s">
        <v>144</v>
      </c>
      <c r="J69" s="2" t="s">
        <v>80</v>
      </c>
      <c r="K69" s="2" t="s">
        <v>145</v>
      </c>
      <c r="AG69" s="9"/>
      <c r="AH69" s="6"/>
    </row>
    <row r="70" spans="1:36" ht="12">
      <c r="A70" s="14" t="s">
        <v>147</v>
      </c>
      <c r="B70" s="10"/>
      <c r="C70" s="15">
        <f>$C$38</f>
        <v>0.005111126344776957</v>
      </c>
      <c r="D70" s="15">
        <f>$C$38</f>
        <v>0.005111126344776957</v>
      </c>
      <c r="E70" s="7" t="s">
        <v>148</v>
      </c>
      <c r="F70" s="16" t="s">
        <v>148</v>
      </c>
      <c r="G70" s="15">
        <f>$C$38</f>
        <v>0.005111126344776957</v>
      </c>
      <c r="H70" s="15">
        <f>$C$38</f>
        <v>0.005111126344776957</v>
      </c>
      <c r="L70" s="3" t="s">
        <v>81</v>
      </c>
      <c r="M70" s="3" t="s">
        <v>149</v>
      </c>
      <c r="AG70" s="9"/>
      <c r="AH70" s="6"/>
      <c r="AI70" s="9"/>
      <c r="AJ70" s="8"/>
    </row>
    <row r="71" spans="1:36" ht="12">
      <c r="A71" s="2" t="s">
        <v>151</v>
      </c>
      <c r="B71">
        <v>0</v>
      </c>
      <c r="C71" s="15">
        <f aca="true" t="shared" si="3" ref="C71:C115">-1.176*B71^2*$C$38^0.5/(1+$B$56*$C$38^0.5)+$C$56*$C$38</f>
        <v>-0.0015333379034330869</v>
      </c>
      <c r="D71" s="15">
        <f aca="true" t="shared" si="4" ref="D71:D115">EXP(C71)</f>
        <v>0.9984678370585154</v>
      </c>
      <c r="E71">
        <v>1</v>
      </c>
      <c r="F71" s="6">
        <v>0</v>
      </c>
      <c r="G71" s="6">
        <v>0</v>
      </c>
      <c r="H71" s="15">
        <v>1</v>
      </c>
      <c r="J71" s="2" t="s">
        <v>151</v>
      </c>
      <c r="K71">
        <f>$G$71*$C$144*$C$149</f>
        <v>0</v>
      </c>
      <c r="L71">
        <v>0</v>
      </c>
      <c r="M71">
        <f aca="true" t="shared" si="5" ref="M71:M115">K71*L71^2</f>
        <v>0</v>
      </c>
      <c r="AG71" s="9"/>
      <c r="AH71" s="6"/>
      <c r="AI71" s="9"/>
      <c r="AJ71" s="8"/>
    </row>
    <row r="72" spans="1:36" ht="12">
      <c r="A72" s="2" t="s">
        <v>153</v>
      </c>
      <c r="B72">
        <v>0</v>
      </c>
      <c r="C72" s="15">
        <f t="shared" si="3"/>
        <v>-0.0015333379034330869</v>
      </c>
      <c r="D72" s="15">
        <f t="shared" si="4"/>
        <v>0.9984678370585154</v>
      </c>
      <c r="E72">
        <v>1</v>
      </c>
      <c r="F72" s="6">
        <v>0</v>
      </c>
      <c r="G72" s="6">
        <v>0</v>
      </c>
      <c r="H72" s="15">
        <v>1</v>
      </c>
      <c r="J72" s="2" t="s">
        <v>153</v>
      </c>
      <c r="K72">
        <f>$G$72*$C$144*$C$150</f>
        <v>0</v>
      </c>
      <c r="L72">
        <v>0</v>
      </c>
      <c r="M72">
        <f t="shared" si="5"/>
        <v>0</v>
      </c>
      <c r="AG72" s="9"/>
      <c r="AH72" s="6"/>
      <c r="AI72" s="9"/>
      <c r="AJ72" s="8"/>
    </row>
    <row r="73" spans="1:36" ht="12">
      <c r="A73" s="2" t="s">
        <v>155</v>
      </c>
      <c r="B73">
        <v>0</v>
      </c>
      <c r="C73" s="15">
        <f t="shared" si="3"/>
        <v>-0.0015333379034330869</v>
      </c>
      <c r="D73" s="15">
        <f t="shared" si="4"/>
        <v>0.9984678370585154</v>
      </c>
      <c r="E73">
        <v>-0.2</v>
      </c>
      <c r="F73" s="6">
        <f aca="true" t="shared" si="6" ref="F73:F97">10^E73</f>
        <v>0.6309573444801932</v>
      </c>
      <c r="G73" s="6">
        <f aca="true" t="shared" si="7" ref="G73:G79">F73*$F$41*F48/D73</f>
        <v>0.5432577702325628</v>
      </c>
      <c r="H73" s="15">
        <f aca="true" t="shared" si="8" ref="H73:H97">LOG10(G73)</f>
        <v>-0.2649940532357089</v>
      </c>
      <c r="J73" s="2" t="s">
        <v>155</v>
      </c>
      <c r="K73">
        <f>$G$73*$C$144*$C$151</f>
        <v>1.6772824899454093E-09</v>
      </c>
      <c r="L73">
        <v>0</v>
      </c>
      <c r="M73">
        <f t="shared" si="5"/>
        <v>0</v>
      </c>
      <c r="AG73" s="9"/>
      <c r="AH73" s="6"/>
      <c r="AI73" s="9"/>
      <c r="AJ73" s="8"/>
    </row>
    <row r="74" spans="1:36" ht="12">
      <c r="A74" s="2" t="s">
        <v>157</v>
      </c>
      <c r="B74">
        <v>0</v>
      </c>
      <c r="C74" s="15">
        <f t="shared" si="3"/>
        <v>-0.0015333379034330869</v>
      </c>
      <c r="D74" s="15">
        <f t="shared" si="4"/>
        <v>0.9984678370585154</v>
      </c>
      <c r="E74">
        <v>-0.7</v>
      </c>
      <c r="F74" s="6">
        <f t="shared" si="6"/>
        <v>0.19952623149688795</v>
      </c>
      <c r="G74" s="6">
        <f t="shared" si="7"/>
        <v>0.17161476817002866</v>
      </c>
      <c r="H74" s="15">
        <f t="shared" si="8"/>
        <v>-0.7654453420189045</v>
      </c>
      <c r="J74" s="2" t="s">
        <v>157</v>
      </c>
      <c r="K74">
        <f>$G$74*$C$144*$C$152</f>
        <v>5.4788684754959484E-14</v>
      </c>
      <c r="L74">
        <v>0</v>
      </c>
      <c r="M74">
        <f t="shared" si="5"/>
        <v>0</v>
      </c>
      <c r="AI74" s="9"/>
      <c r="AJ74" s="8"/>
    </row>
    <row r="75" spans="1:36" ht="12">
      <c r="A75" s="2" t="s">
        <v>159</v>
      </c>
      <c r="B75">
        <v>1</v>
      </c>
      <c r="C75" s="15">
        <f t="shared" si="3"/>
        <v>-0.08560809670650225</v>
      </c>
      <c r="D75" s="15">
        <f t="shared" si="4"/>
        <v>0.9179539098964861</v>
      </c>
      <c r="E75">
        <v>0.82</v>
      </c>
      <c r="F75" s="6">
        <f t="shared" si="6"/>
        <v>6.606934480075961</v>
      </c>
      <c r="G75" s="6">
        <f t="shared" si="7"/>
        <v>5.0361361374920435</v>
      </c>
      <c r="H75" s="15">
        <f t="shared" si="8"/>
        <v>0.7020974614998533</v>
      </c>
      <c r="J75" s="2" t="s">
        <v>159</v>
      </c>
      <c r="K75">
        <f>$G$75*$C$144*$C$153</f>
        <v>2.0537926528689916E-06</v>
      </c>
      <c r="L75">
        <v>0</v>
      </c>
      <c r="M75">
        <f t="shared" si="5"/>
        <v>0</v>
      </c>
      <c r="AG75" s="9"/>
      <c r="AH75" s="6"/>
      <c r="AJ75" s="8"/>
    </row>
    <row r="76" spans="1:36" ht="12">
      <c r="A76" s="2" t="s">
        <v>160</v>
      </c>
      <c r="B76">
        <v>0</v>
      </c>
      <c r="C76" s="15">
        <f t="shared" si="3"/>
        <v>-0.0015333379034330869</v>
      </c>
      <c r="D76" s="15">
        <f t="shared" si="4"/>
        <v>0.9984678370585154</v>
      </c>
      <c r="E76">
        <v>-0.25</v>
      </c>
      <c r="F76" s="6">
        <f t="shared" si="6"/>
        <v>0.5623413251903491</v>
      </c>
      <c r="G76" s="6">
        <f t="shared" si="7"/>
        <v>0.48246170621511714</v>
      </c>
      <c r="H76" s="15">
        <f t="shared" si="8"/>
        <v>-0.31653715162475776</v>
      </c>
      <c r="J76" s="2" t="s">
        <v>160</v>
      </c>
      <c r="K76">
        <f>$G$76*$C$144*$C$154</f>
        <v>2.9524797599997984E-06</v>
      </c>
      <c r="L76">
        <v>0</v>
      </c>
      <c r="M76">
        <f t="shared" si="5"/>
        <v>0</v>
      </c>
      <c r="AG76" s="9"/>
      <c r="AH76" s="6"/>
      <c r="AI76" s="9"/>
      <c r="AJ76" s="8"/>
    </row>
    <row r="77" spans="1:36" ht="12">
      <c r="A77" s="2" t="s">
        <v>162</v>
      </c>
      <c r="B77">
        <v>1</v>
      </c>
      <c r="C77" s="15">
        <f t="shared" si="3"/>
        <v>-0.08560809670650225</v>
      </c>
      <c r="D77" s="15">
        <f t="shared" si="4"/>
        <v>0.9179539098964861</v>
      </c>
      <c r="E77">
        <v>0.7</v>
      </c>
      <c r="F77" s="6">
        <f t="shared" si="6"/>
        <v>5.011872336272723</v>
      </c>
      <c r="G77" s="6">
        <f t="shared" si="7"/>
        <v>3.759380798838554</v>
      </c>
      <c r="H77" s="15">
        <f t="shared" si="8"/>
        <v>0.5751163189189628</v>
      </c>
      <c r="J77" s="2" t="s">
        <v>162</v>
      </c>
      <c r="K77">
        <f>$G$77*$C$144*$C$155</f>
        <v>1.3276665940563047E-07</v>
      </c>
      <c r="L77">
        <v>1</v>
      </c>
      <c r="M77">
        <f t="shared" si="5"/>
        <v>1.3276665940563047E-07</v>
      </c>
      <c r="AG77" s="9"/>
      <c r="AH77" s="6"/>
      <c r="AI77" s="9"/>
      <c r="AJ77" s="8"/>
    </row>
    <row r="78" spans="1:36" ht="12">
      <c r="A78" s="2" t="s">
        <v>164</v>
      </c>
      <c r="B78">
        <v>0</v>
      </c>
      <c r="C78" s="15">
        <f t="shared" si="3"/>
        <v>-0.0015333379034330869</v>
      </c>
      <c r="D78" s="15">
        <f t="shared" si="4"/>
        <v>0.9984678370585154</v>
      </c>
      <c r="E78">
        <v>0</v>
      </c>
      <c r="F78" s="6">
        <f t="shared" si="6"/>
        <v>1</v>
      </c>
      <c r="G78" s="6">
        <f t="shared" si="7"/>
        <v>0.8609360490811159</v>
      </c>
      <c r="H78" s="15">
        <f t="shared" si="8"/>
        <v>-0.06502910703958209</v>
      </c>
      <c r="J78" s="2" t="s">
        <v>164</v>
      </c>
      <c r="K78">
        <f>$G$78*$C$144*$C$157</f>
        <v>3.0821522851238184E-10</v>
      </c>
      <c r="L78">
        <v>0</v>
      </c>
      <c r="M78">
        <f t="shared" si="5"/>
        <v>0</v>
      </c>
      <c r="AG78" s="9"/>
      <c r="AH78" s="6"/>
      <c r="AI78" s="9"/>
      <c r="AJ78" s="8"/>
    </row>
    <row r="79" spans="1:36" ht="12">
      <c r="A79" s="2" t="s">
        <v>166</v>
      </c>
      <c r="B79">
        <v>0</v>
      </c>
      <c r="C79" s="15">
        <f t="shared" si="3"/>
        <v>-0.0015333379034330869</v>
      </c>
      <c r="D79" s="15">
        <f t="shared" si="4"/>
        <v>0.9984678370585154</v>
      </c>
      <c r="E79">
        <v>-0.26</v>
      </c>
      <c r="F79" s="6">
        <f t="shared" si="6"/>
        <v>0.5495408738576245</v>
      </c>
      <c r="G79" s="6">
        <f t="shared" si="7"/>
        <v>0.4729795477759862</v>
      </c>
      <c r="H79" s="15">
        <f t="shared" si="8"/>
        <v>-0.32515763828981986</v>
      </c>
      <c r="J79" s="2" t="s">
        <v>166</v>
      </c>
      <c r="K79">
        <f>$G$79*$C$144*$C$158</f>
        <v>4.797018356109881E-10</v>
      </c>
      <c r="L79">
        <v>0</v>
      </c>
      <c r="M79">
        <f t="shared" si="5"/>
        <v>0</v>
      </c>
      <c r="AG79" s="9"/>
      <c r="AH79" s="6"/>
      <c r="AI79" s="9"/>
      <c r="AJ79" s="8"/>
    </row>
    <row r="80" spans="1:33" ht="12">
      <c r="A80" s="2" t="s">
        <v>168</v>
      </c>
      <c r="B80">
        <v>1</v>
      </c>
      <c r="C80" s="15">
        <f t="shared" si="3"/>
        <v>-0.08560809670650225</v>
      </c>
      <c r="D80" s="15">
        <f t="shared" si="4"/>
        <v>0.9179539098964861</v>
      </c>
      <c r="E80">
        <v>0</v>
      </c>
      <c r="F80" s="6">
        <f t="shared" si="6"/>
        <v>1</v>
      </c>
      <c r="G80" s="6">
        <f aca="true" t="shared" si="9" ref="G80:G88">F80*$F$42*F46/D80</f>
        <v>0.7503264680183982</v>
      </c>
      <c r="H80" s="15">
        <f t="shared" si="8"/>
        <v>-0.12474973339577482</v>
      </c>
      <c r="J80" s="2" t="s">
        <v>168</v>
      </c>
      <c r="K80">
        <f>$G$80*$C$145*$C$149</f>
        <v>6.833926152485967E-07</v>
      </c>
      <c r="L80">
        <v>1</v>
      </c>
      <c r="M80">
        <f t="shared" si="5"/>
        <v>6.833926152485967E-07</v>
      </c>
      <c r="AG80" s="9"/>
    </row>
    <row r="81" spans="1:36" ht="12">
      <c r="A81" s="2" t="s">
        <v>170</v>
      </c>
      <c r="B81">
        <v>1</v>
      </c>
      <c r="C81" s="15">
        <f t="shared" si="3"/>
        <v>-0.08560809670650225</v>
      </c>
      <c r="D81" s="15">
        <f t="shared" si="4"/>
        <v>0.9179539098964861</v>
      </c>
      <c r="E81">
        <v>0</v>
      </c>
      <c r="F81" s="6">
        <f t="shared" si="6"/>
        <v>1</v>
      </c>
      <c r="G81" s="6">
        <f t="shared" si="9"/>
        <v>0.7508174651486127</v>
      </c>
      <c r="H81" s="15">
        <f t="shared" si="8"/>
        <v>-0.12446563358738823</v>
      </c>
      <c r="J81" s="2" t="s">
        <v>170</v>
      </c>
      <c r="K81">
        <f>$G$81*$C$145*$C$150</f>
        <v>1.0515791835628922E-09</v>
      </c>
      <c r="L81">
        <v>1</v>
      </c>
      <c r="M81">
        <f t="shared" si="5"/>
        <v>1.0515791835628922E-09</v>
      </c>
      <c r="AG81" s="9"/>
      <c r="AI81" s="9"/>
      <c r="AJ81" s="8"/>
    </row>
    <row r="82" spans="1:36" ht="12">
      <c r="A82" s="2" t="s">
        <v>171</v>
      </c>
      <c r="B82">
        <v>1</v>
      </c>
      <c r="C82" s="15">
        <f t="shared" si="3"/>
        <v>-0.08560809670650225</v>
      </c>
      <c r="D82" s="15">
        <f t="shared" si="4"/>
        <v>0.9179539098964861</v>
      </c>
      <c r="E82">
        <v>2.21</v>
      </c>
      <c r="F82" s="6">
        <f t="shared" si="6"/>
        <v>162.18100973589304</v>
      </c>
      <c r="G82" s="6">
        <f t="shared" si="9"/>
        <v>121.80193837352164</v>
      </c>
      <c r="H82" s="15">
        <f t="shared" si="8"/>
        <v>2.085654199776543</v>
      </c>
      <c r="J82" s="2" t="s">
        <v>171</v>
      </c>
      <c r="K82">
        <f>$G$82*$C$145*$C$151</f>
        <v>4.14154972233981E-08</v>
      </c>
      <c r="L82">
        <v>1</v>
      </c>
      <c r="M82">
        <f t="shared" si="5"/>
        <v>4.14154972233981E-08</v>
      </c>
      <c r="AG82" s="9"/>
      <c r="AH82" s="6"/>
      <c r="AI82" s="9"/>
      <c r="AJ82" s="8"/>
    </row>
    <row r="83" spans="1:36" ht="12">
      <c r="A83" s="2" t="s">
        <v>173</v>
      </c>
      <c r="B83">
        <v>1</v>
      </c>
      <c r="C83" s="15">
        <f t="shared" si="3"/>
        <v>-0.08560809670650225</v>
      </c>
      <c r="D83" s="15">
        <f t="shared" si="4"/>
        <v>0.9179539098964861</v>
      </c>
      <c r="E83">
        <v>0.4</v>
      </c>
      <c r="F83" s="6">
        <f t="shared" si="6"/>
        <v>2.5118864315095806</v>
      </c>
      <c r="G83" s="6">
        <f t="shared" si="9"/>
        <v>1.884529373321338</v>
      </c>
      <c r="H83" s="15">
        <f t="shared" si="8"/>
        <v>0.27520291099334754</v>
      </c>
      <c r="J83" s="2" t="s">
        <v>173</v>
      </c>
      <c r="K83">
        <f>$G$83*$C$145*$C$152</f>
        <v>6.625940651092032E-14</v>
      </c>
      <c r="L83">
        <v>1</v>
      </c>
      <c r="M83">
        <f t="shared" si="5"/>
        <v>6.625940651092032E-14</v>
      </c>
      <c r="AG83" s="9"/>
      <c r="AH83" s="6"/>
      <c r="AI83" s="9"/>
      <c r="AJ83" s="8"/>
    </row>
    <row r="84" spans="1:36" ht="12">
      <c r="A84" s="2" t="s">
        <v>175</v>
      </c>
      <c r="B84">
        <v>0</v>
      </c>
      <c r="C84" s="15">
        <f t="shared" si="3"/>
        <v>-0.0015333379034330869</v>
      </c>
      <c r="D84" s="15">
        <f t="shared" si="4"/>
        <v>0.9984678370585154</v>
      </c>
      <c r="E84">
        <v>2.25</v>
      </c>
      <c r="F84" s="6">
        <f t="shared" si="6"/>
        <v>177.82794100389242</v>
      </c>
      <c r="G84" s="6">
        <f t="shared" si="9"/>
        <v>99.93538890282822</v>
      </c>
      <c r="H84" s="15">
        <f t="shared" si="8"/>
        <v>1.999719306881066</v>
      </c>
      <c r="J84" s="2" t="s">
        <v>175</v>
      </c>
      <c r="K84">
        <f>$G$84*$C$145*$C$153</f>
        <v>4.488351438072404E-06</v>
      </c>
      <c r="L84">
        <v>0</v>
      </c>
      <c r="M84">
        <f t="shared" si="5"/>
        <v>0</v>
      </c>
      <c r="AG84" s="9"/>
      <c r="AH84" s="6"/>
      <c r="AI84" s="9"/>
      <c r="AJ84" s="8"/>
    </row>
    <row r="85" spans="1:36" ht="12">
      <c r="A85" s="2" t="s">
        <v>177</v>
      </c>
      <c r="B85">
        <v>1</v>
      </c>
      <c r="C85" s="15">
        <f t="shared" si="3"/>
        <v>-0.08560809670650225</v>
      </c>
      <c r="D85" s="15">
        <f t="shared" si="4"/>
        <v>0.9179539098964861</v>
      </c>
      <c r="E85">
        <v>1.07</v>
      </c>
      <c r="F85" s="6">
        <f t="shared" si="6"/>
        <v>11.7489755493953</v>
      </c>
      <c r="G85" s="6">
        <f t="shared" si="9"/>
        <v>8.79247417487428</v>
      </c>
      <c r="H85" s="15">
        <f t="shared" si="8"/>
        <v>0.9441111013874942</v>
      </c>
      <c r="J85" s="2" t="s">
        <v>177</v>
      </c>
      <c r="K85">
        <f>$G$85*$C$145*$C$154</f>
        <v>5.925753690714469E-06</v>
      </c>
      <c r="L85">
        <v>1</v>
      </c>
      <c r="M85">
        <f t="shared" si="5"/>
        <v>5.925753690714469E-06</v>
      </c>
      <c r="AI85" s="9"/>
      <c r="AJ85" s="8"/>
    </row>
    <row r="86" spans="1:36" ht="12">
      <c r="A86" s="2" t="s">
        <v>179</v>
      </c>
      <c r="B86">
        <v>0</v>
      </c>
      <c r="C86" s="15">
        <f t="shared" si="3"/>
        <v>-0.0015333379034330869</v>
      </c>
      <c r="D86" s="15">
        <f t="shared" si="4"/>
        <v>0.9984678370585154</v>
      </c>
      <c r="E86">
        <v>2.88</v>
      </c>
      <c r="F86" s="6">
        <f t="shared" si="6"/>
        <v>758.5775750291838</v>
      </c>
      <c r="G86" s="6">
        <f t="shared" si="9"/>
        <v>419.50598800121185</v>
      </c>
      <c r="H86" s="15">
        <f t="shared" si="8"/>
        <v>2.622738164300175</v>
      </c>
      <c r="J86" s="2" t="s">
        <v>179</v>
      </c>
      <c r="K86">
        <f>$G$86*$C$145*$C$155</f>
        <v>1.6316210021090258E-06</v>
      </c>
      <c r="L86">
        <v>0</v>
      </c>
      <c r="M86">
        <f t="shared" si="5"/>
        <v>0</v>
      </c>
      <c r="AG86" s="9"/>
      <c r="AH86" s="12"/>
      <c r="AI86" s="9"/>
      <c r="AJ86" s="8"/>
    </row>
    <row r="87" spans="1:36" ht="12">
      <c r="A87" s="2" t="s">
        <v>180</v>
      </c>
      <c r="B87">
        <v>1</v>
      </c>
      <c r="C87" s="15">
        <f t="shared" si="3"/>
        <v>-0.08560809670650225</v>
      </c>
      <c r="D87" s="15">
        <f t="shared" si="4"/>
        <v>0.9179539098964861</v>
      </c>
      <c r="E87">
        <v>1.44</v>
      </c>
      <c r="F87" s="6">
        <f t="shared" si="6"/>
        <v>27.542287033381665</v>
      </c>
      <c r="G87" s="6">
        <f t="shared" si="9"/>
        <v>20.683267365843953</v>
      </c>
      <c r="H87" s="15">
        <f t="shared" si="8"/>
        <v>1.3156191459726698</v>
      </c>
      <c r="J87" s="2" t="s">
        <v>180</v>
      </c>
      <c r="K87">
        <f>$G$87*$C$145*$C$157</f>
        <v>8.154752027812313E-10</v>
      </c>
      <c r="L87">
        <v>1</v>
      </c>
      <c r="M87">
        <f t="shared" si="5"/>
        <v>8.154752027812313E-10</v>
      </c>
      <c r="AG87" s="9"/>
      <c r="AH87" s="9"/>
      <c r="AI87" s="9"/>
      <c r="AJ87" s="8"/>
    </row>
    <row r="88" spans="1:36" ht="12">
      <c r="A88" s="2" t="s">
        <v>184</v>
      </c>
      <c r="B88">
        <v>1</v>
      </c>
      <c r="C88" s="15">
        <f t="shared" si="3"/>
        <v>-0.08560809670650225</v>
      </c>
      <c r="D88" s="15">
        <f t="shared" si="4"/>
        <v>0.9179539098964861</v>
      </c>
      <c r="E88">
        <v>1.82</v>
      </c>
      <c r="F88" s="6">
        <f t="shared" si="6"/>
        <v>66.06934480075962</v>
      </c>
      <c r="G88" s="6">
        <f t="shared" si="9"/>
        <v>49.601020830103785</v>
      </c>
      <c r="H88" s="15">
        <f t="shared" si="8"/>
        <v>1.6954906147224322</v>
      </c>
      <c r="J88" s="2" t="s">
        <v>184</v>
      </c>
      <c r="K88">
        <f>$G$88*$C$145*$C$158</f>
        <v>5.540233218260245E-09</v>
      </c>
      <c r="L88">
        <v>1</v>
      </c>
      <c r="M88">
        <f t="shared" si="5"/>
        <v>5.540233218260245E-09</v>
      </c>
      <c r="AH88" s="9"/>
      <c r="AI88" s="9"/>
      <c r="AJ88" s="8"/>
    </row>
    <row r="89" spans="1:36" ht="12">
      <c r="A89" s="2" t="s">
        <v>187</v>
      </c>
      <c r="B89">
        <v>1</v>
      </c>
      <c r="C89" s="15">
        <f t="shared" si="3"/>
        <v>-0.08560809670650225</v>
      </c>
      <c r="D89" s="15">
        <f t="shared" si="4"/>
        <v>0.9179539098964861</v>
      </c>
      <c r="E89">
        <v>0</v>
      </c>
      <c r="F89" s="6">
        <f t="shared" si="6"/>
        <v>1</v>
      </c>
      <c r="G89" s="6">
        <f aca="true" t="shared" si="10" ref="G89:G97">F89*$F$43*F46/D89</f>
        <v>0.7489494148882869</v>
      </c>
      <c r="H89" s="15">
        <f t="shared" si="8"/>
        <v>-0.12554751417873108</v>
      </c>
      <c r="J89" s="2" t="s">
        <v>187</v>
      </c>
      <c r="K89">
        <f>$G$89*$C$146*$C$149</f>
        <v>1.3621195257385753E-07</v>
      </c>
      <c r="L89">
        <v>1</v>
      </c>
      <c r="M89">
        <f t="shared" si="5"/>
        <v>1.3621195257385753E-07</v>
      </c>
      <c r="AG89" s="9"/>
      <c r="AH89" s="6"/>
      <c r="AI89" s="9"/>
      <c r="AJ89" s="8"/>
    </row>
    <row r="90" spans="1:34" ht="12">
      <c r="A90" s="2" t="s">
        <v>189</v>
      </c>
      <c r="B90">
        <v>1</v>
      </c>
      <c r="C90" s="15">
        <f t="shared" si="3"/>
        <v>-0.08560809670650225</v>
      </c>
      <c r="D90" s="15">
        <f t="shared" si="4"/>
        <v>0.9179539098964861</v>
      </c>
      <c r="E90">
        <v>0</v>
      </c>
      <c r="F90" s="6">
        <f t="shared" si="6"/>
        <v>1</v>
      </c>
      <c r="G90" s="6">
        <f t="shared" si="10"/>
        <v>0.7494395109052343</v>
      </c>
      <c r="H90" s="15">
        <f t="shared" si="8"/>
        <v>-0.12526341437034447</v>
      </c>
      <c r="J90" s="2" t="s">
        <v>189</v>
      </c>
      <c r="K90">
        <f>$G$90*$C$146*$C$150</f>
        <v>2.0959789538700114E-10</v>
      </c>
      <c r="L90">
        <v>1</v>
      </c>
      <c r="M90">
        <f t="shared" si="5"/>
        <v>2.0959789538700114E-10</v>
      </c>
      <c r="AG90" s="9"/>
      <c r="AH90" s="6"/>
    </row>
    <row r="91" spans="1:36" ht="12">
      <c r="A91" s="2" t="s">
        <v>192</v>
      </c>
      <c r="B91">
        <v>1</v>
      </c>
      <c r="C91" s="15">
        <f t="shared" si="3"/>
        <v>-0.08560809670650225</v>
      </c>
      <c r="D91" s="15">
        <f t="shared" si="4"/>
        <v>0.9179539098964861</v>
      </c>
      <c r="E91">
        <v>1.15</v>
      </c>
      <c r="F91" s="6">
        <f t="shared" si="6"/>
        <v>14.125375446227544</v>
      </c>
      <c r="G91" s="6">
        <f t="shared" si="10"/>
        <v>10.589035858497573</v>
      </c>
      <c r="H91" s="15">
        <f t="shared" si="8"/>
        <v>1.0248564189935867</v>
      </c>
      <c r="J91" s="2" t="s">
        <v>192</v>
      </c>
      <c r="K91">
        <f>$G$91*$C$146*$C$151</f>
        <v>7.189651122350402E-10</v>
      </c>
      <c r="L91">
        <v>1</v>
      </c>
      <c r="M91">
        <f t="shared" si="5"/>
        <v>7.189651122350402E-10</v>
      </c>
      <c r="AG91" s="9"/>
      <c r="AH91" s="9"/>
      <c r="AI91" s="9"/>
      <c r="AJ91" s="8"/>
    </row>
    <row r="92" spans="1:36" ht="12">
      <c r="A92" s="2" t="s">
        <v>194</v>
      </c>
      <c r="B92">
        <v>1</v>
      </c>
      <c r="C92" s="15">
        <f t="shared" si="3"/>
        <v>-0.08560809670650225</v>
      </c>
      <c r="D92" s="15">
        <f t="shared" si="4"/>
        <v>0.9179539098964861</v>
      </c>
      <c r="E92">
        <v>0.3</v>
      </c>
      <c r="F92" s="6">
        <f t="shared" si="6"/>
        <v>1.9952623149688797</v>
      </c>
      <c r="G92" s="6">
        <f t="shared" si="10"/>
        <v>1.4941876077610943</v>
      </c>
      <c r="H92" s="15">
        <f t="shared" si="8"/>
        <v>0.17440513021039117</v>
      </c>
      <c r="J92" s="2" t="s">
        <v>194</v>
      </c>
      <c r="K92">
        <f>$G$92*$C$146*$C$152</f>
        <v>1.0490410395801739E-14</v>
      </c>
      <c r="L92">
        <v>1</v>
      </c>
      <c r="M92">
        <f t="shared" si="5"/>
        <v>1.0490410395801739E-14</v>
      </c>
      <c r="AG92" s="9"/>
      <c r="AH92" s="9"/>
      <c r="AI92" s="9"/>
      <c r="AJ92" s="8"/>
    </row>
    <row r="93" spans="1:36" ht="12">
      <c r="A93" s="2" t="s">
        <v>198</v>
      </c>
      <c r="B93">
        <v>0</v>
      </c>
      <c r="C93" s="15">
        <f t="shared" si="3"/>
        <v>-0.0015333379034330869</v>
      </c>
      <c r="D93" s="15">
        <f t="shared" si="4"/>
        <v>0.9984678370585154</v>
      </c>
      <c r="E93">
        <v>2.31</v>
      </c>
      <c r="F93" s="6">
        <f t="shared" si="6"/>
        <v>204.17379446695315</v>
      </c>
      <c r="G93" s="6">
        <f t="shared" si="10"/>
        <v>114.53059741620065</v>
      </c>
      <c r="H93" s="15">
        <f t="shared" si="8"/>
        <v>2.0589215260981097</v>
      </c>
      <c r="J93" s="2" t="s">
        <v>198</v>
      </c>
      <c r="K93">
        <f>$G$93*$C$146*$C$153</f>
        <v>1.0271450838687359E-06</v>
      </c>
      <c r="L93">
        <v>0</v>
      </c>
      <c r="M93">
        <f t="shared" si="5"/>
        <v>0</v>
      </c>
      <c r="AG93" s="9"/>
      <c r="AH93" s="6"/>
      <c r="AI93" s="9"/>
      <c r="AJ93" s="8"/>
    </row>
    <row r="94" spans="1:36" ht="12">
      <c r="A94" s="2" t="s">
        <v>201</v>
      </c>
      <c r="B94">
        <v>1</v>
      </c>
      <c r="C94" s="15">
        <f t="shared" si="3"/>
        <v>-0.08560809670650225</v>
      </c>
      <c r="D94" s="15">
        <f t="shared" si="4"/>
        <v>0.9179539098964861</v>
      </c>
      <c r="E94">
        <v>1.1</v>
      </c>
      <c r="F94" s="6">
        <f t="shared" si="6"/>
        <v>12.58925411794168</v>
      </c>
      <c r="G94" s="6">
        <f t="shared" si="10"/>
        <v>9.40401516075283</v>
      </c>
      <c r="H94" s="15">
        <f t="shared" si="8"/>
        <v>0.9733133206045381</v>
      </c>
      <c r="J94" s="2" t="s">
        <v>201</v>
      </c>
      <c r="K94">
        <f>$G$94*$C$146*$C$154</f>
        <v>1.2655768809039612E-06</v>
      </c>
      <c r="L94">
        <v>1</v>
      </c>
      <c r="M94">
        <f t="shared" si="5"/>
        <v>1.2655768809039612E-06</v>
      </c>
      <c r="AG94" s="9"/>
      <c r="AH94" s="9"/>
      <c r="AI94" s="9"/>
      <c r="AJ94" s="8"/>
    </row>
    <row r="95" spans="1:36" ht="12">
      <c r="A95" s="2" t="s">
        <v>203</v>
      </c>
      <c r="B95">
        <v>0</v>
      </c>
      <c r="C95" s="15">
        <f t="shared" si="3"/>
        <v>-0.0015333379034330869</v>
      </c>
      <c r="D95" s="15">
        <f t="shared" si="4"/>
        <v>0.9984678370585154</v>
      </c>
      <c r="E95">
        <v>3.15</v>
      </c>
      <c r="F95" s="6">
        <f t="shared" si="6"/>
        <v>1412.5375446227545</v>
      </c>
      <c r="G95" s="6">
        <f t="shared" si="10"/>
        <v>779.7230690122539</v>
      </c>
      <c r="H95" s="15">
        <f t="shared" si="8"/>
        <v>2.891940383517219</v>
      </c>
      <c r="J95" s="2" t="s">
        <v>203</v>
      </c>
      <c r="K95">
        <f>$G$95*$C$146*$C$155</f>
        <v>6.055698213412052E-07</v>
      </c>
      <c r="L95">
        <v>0</v>
      </c>
      <c r="M95">
        <f t="shared" si="5"/>
        <v>0</v>
      </c>
      <c r="AG95" s="9"/>
      <c r="AH95" s="9"/>
      <c r="AI95" s="9"/>
      <c r="AJ95" s="8"/>
    </row>
    <row r="96" spans="1:36" ht="12">
      <c r="A96" s="2" t="s">
        <v>206</v>
      </c>
      <c r="B96">
        <v>1</v>
      </c>
      <c r="C96" s="15">
        <f t="shared" si="3"/>
        <v>-0.08560809670650225</v>
      </c>
      <c r="D96" s="15">
        <f t="shared" si="4"/>
        <v>0.9179539098964861</v>
      </c>
      <c r="E96">
        <v>1.7</v>
      </c>
      <c r="F96" s="6">
        <f t="shared" si="6"/>
        <v>50.11872336272724</v>
      </c>
      <c r="G96" s="6">
        <f t="shared" si="10"/>
        <v>37.56828459403334</v>
      </c>
      <c r="H96" s="15">
        <f t="shared" si="8"/>
        <v>1.5748213651897136</v>
      </c>
      <c r="J96" s="2" t="s">
        <v>206</v>
      </c>
      <c r="K96">
        <f>$G$96*$C$146*$C$157</f>
        <v>2.957710727006316E-10</v>
      </c>
      <c r="L96">
        <v>1</v>
      </c>
      <c r="M96">
        <f t="shared" si="5"/>
        <v>2.957710727006316E-10</v>
      </c>
      <c r="AG96" s="9"/>
      <c r="AI96" s="9"/>
      <c r="AJ96" s="8"/>
    </row>
    <row r="97" spans="1:36" ht="12">
      <c r="A97" s="2" t="s">
        <v>209</v>
      </c>
      <c r="B97">
        <v>1</v>
      </c>
      <c r="C97" s="15">
        <f t="shared" si="3"/>
        <v>-0.08560809670650225</v>
      </c>
      <c r="D97" s="15">
        <f t="shared" si="4"/>
        <v>0.9179539098964861</v>
      </c>
      <c r="E97">
        <v>1.04</v>
      </c>
      <c r="F97" s="6">
        <f t="shared" si="6"/>
        <v>10.964781961431854</v>
      </c>
      <c r="G97" s="6">
        <f t="shared" si="10"/>
        <v>8.216613030717136</v>
      </c>
      <c r="H97" s="15">
        <f t="shared" si="8"/>
        <v>0.914692833939476</v>
      </c>
      <c r="J97" s="2" t="s">
        <v>209</v>
      </c>
      <c r="K97">
        <f>$G$97*$C$146*$C$158</f>
        <v>1.8326223717847206E-10</v>
      </c>
      <c r="L97">
        <v>1</v>
      </c>
      <c r="M97">
        <f t="shared" si="5"/>
        <v>1.8326223717847206E-10</v>
      </c>
      <c r="AI97" s="9"/>
      <c r="AJ97" s="8"/>
    </row>
    <row r="98" spans="1:36" ht="12">
      <c r="A98" s="2" t="s">
        <v>210</v>
      </c>
      <c r="B98">
        <v>0</v>
      </c>
      <c r="C98" s="15">
        <f t="shared" si="3"/>
        <v>-0.0015333379034330869</v>
      </c>
      <c r="D98" s="15">
        <f t="shared" si="4"/>
        <v>0.9984678370585154</v>
      </c>
      <c r="E98">
        <v>1</v>
      </c>
      <c r="F98" s="6">
        <v>0</v>
      </c>
      <c r="G98" s="6">
        <f aca="true" t="shared" si="11" ref="G98:G106">F98*F46*$F$44/D98</f>
        <v>0</v>
      </c>
      <c r="H98" s="15">
        <v>1</v>
      </c>
      <c r="J98" s="2" t="s">
        <v>210</v>
      </c>
      <c r="K98">
        <f>$G$98*$C$147*$C$149</f>
        <v>0</v>
      </c>
      <c r="L98">
        <v>0</v>
      </c>
      <c r="M98">
        <f t="shared" si="5"/>
        <v>0</v>
      </c>
      <c r="AH98" s="6"/>
      <c r="AI98" s="9"/>
      <c r="AJ98" s="8"/>
    </row>
    <row r="99" spans="1:36" ht="12">
      <c r="A99" s="2" t="s">
        <v>212</v>
      </c>
      <c r="B99">
        <v>0</v>
      </c>
      <c r="C99" s="15">
        <f t="shared" si="3"/>
        <v>-0.0015333379034330869</v>
      </c>
      <c r="D99" s="15">
        <f t="shared" si="4"/>
        <v>0.9984678370585154</v>
      </c>
      <c r="E99">
        <v>1</v>
      </c>
      <c r="F99" s="6">
        <v>0</v>
      </c>
      <c r="G99" s="6">
        <f t="shared" si="11"/>
        <v>0</v>
      </c>
      <c r="H99" s="15">
        <v>1</v>
      </c>
      <c r="J99" s="2" t="s">
        <v>212</v>
      </c>
      <c r="K99">
        <f>$G$99*$C$147*$C$150</f>
        <v>0</v>
      </c>
      <c r="L99">
        <v>0</v>
      </c>
      <c r="M99">
        <f t="shared" si="5"/>
        <v>0</v>
      </c>
      <c r="AG99" s="9"/>
      <c r="AH99" s="6"/>
      <c r="AI99" s="9"/>
      <c r="AJ99" s="8"/>
    </row>
    <row r="100" spans="1:36" ht="12">
      <c r="A100" s="2" t="s">
        <v>214</v>
      </c>
      <c r="B100">
        <v>0</v>
      </c>
      <c r="C100" s="15">
        <f t="shared" si="3"/>
        <v>-0.0015333379034330869</v>
      </c>
      <c r="D100" s="15">
        <f t="shared" si="4"/>
        <v>0.9984678370585154</v>
      </c>
      <c r="E100">
        <v>0</v>
      </c>
      <c r="F100" s="6">
        <f aca="true" t="shared" si="12" ref="F100:F115">10^E100</f>
        <v>1</v>
      </c>
      <c r="G100" s="6">
        <f t="shared" si="11"/>
        <v>0.8593343763145038</v>
      </c>
      <c r="H100" s="15">
        <f aca="true" t="shared" si="13" ref="H100:H119">LOG10(G100)</f>
        <v>-0.06583781459518878</v>
      </c>
      <c r="J100" s="2" t="s">
        <v>214</v>
      </c>
      <c r="K100">
        <f>$G$100*$C$147*$C$151</f>
        <v>5.813153942586635E-11</v>
      </c>
      <c r="L100">
        <v>0</v>
      </c>
      <c r="M100">
        <f t="shared" si="5"/>
        <v>0</v>
      </c>
      <c r="AG100" s="9"/>
      <c r="AH100" s="6"/>
      <c r="AI100" s="9"/>
      <c r="AJ100" s="8"/>
    </row>
    <row r="101" spans="1:36" ht="12">
      <c r="A101" s="2" t="s">
        <v>216</v>
      </c>
      <c r="B101">
        <v>0</v>
      </c>
      <c r="C101" s="15">
        <f t="shared" si="3"/>
        <v>-0.0015333379034330869</v>
      </c>
      <c r="D101" s="15">
        <f t="shared" si="4"/>
        <v>0.9984678370585154</v>
      </c>
      <c r="E101">
        <v>0</v>
      </c>
      <c r="F101" s="6">
        <f t="shared" si="12"/>
        <v>1</v>
      </c>
      <c r="G101" s="6">
        <f t="shared" si="11"/>
        <v>0.858441879266153</v>
      </c>
      <c r="H101" s="15">
        <f t="shared" si="13"/>
        <v>-0.06628910337838433</v>
      </c>
      <c r="J101" s="2" t="s">
        <v>216</v>
      </c>
      <c r="K101">
        <f>$G$101*$C$147*$C$152</f>
        <v>6.004771499916471E-15</v>
      </c>
      <c r="L101">
        <v>0</v>
      </c>
      <c r="M101">
        <f t="shared" si="5"/>
        <v>0</v>
      </c>
      <c r="AG101" s="9"/>
      <c r="AH101" s="6"/>
      <c r="AI101" s="9"/>
      <c r="AJ101" s="8"/>
    </row>
    <row r="102" spans="1:36" ht="12">
      <c r="A102" s="2" t="s">
        <v>218</v>
      </c>
      <c r="B102">
        <v>1</v>
      </c>
      <c r="C102" s="15">
        <f t="shared" si="3"/>
        <v>-0.08560809670650225</v>
      </c>
      <c r="D102" s="15">
        <f t="shared" si="4"/>
        <v>0.9179539098964861</v>
      </c>
      <c r="E102">
        <v>0.85</v>
      </c>
      <c r="F102" s="6">
        <f t="shared" si="12"/>
        <v>7.0794578438413795</v>
      </c>
      <c r="G102" s="6">
        <f t="shared" si="11"/>
        <v>5.3858431336908845</v>
      </c>
      <c r="H102" s="15">
        <f t="shared" si="13"/>
        <v>0.7312537001403735</v>
      </c>
      <c r="J102" s="2" t="s">
        <v>218</v>
      </c>
      <c r="K102">
        <f>$G$102*$C$147*$C$153</f>
        <v>4.812405414222306E-08</v>
      </c>
      <c r="L102">
        <v>1</v>
      </c>
      <c r="M102">
        <f t="shared" si="5"/>
        <v>4.812405414222306E-08</v>
      </c>
      <c r="AG102" s="9"/>
      <c r="AH102" s="6"/>
      <c r="AI102" s="9"/>
      <c r="AJ102" s="8"/>
    </row>
    <row r="103" spans="1:36" ht="12">
      <c r="A103" s="2" t="s">
        <v>220</v>
      </c>
      <c r="B103">
        <v>0</v>
      </c>
      <c r="C103" s="15">
        <f t="shared" si="3"/>
        <v>-0.0015333379034330869</v>
      </c>
      <c r="D103" s="15">
        <f t="shared" si="4"/>
        <v>0.9984678370585154</v>
      </c>
      <c r="E103">
        <v>0</v>
      </c>
      <c r="F103" s="6">
        <f t="shared" si="12"/>
        <v>1</v>
      </c>
      <c r="G103" s="6">
        <f t="shared" si="11"/>
        <v>0.8562864801231737</v>
      </c>
      <c r="H103" s="15">
        <f t="shared" si="13"/>
        <v>-0.06738091298423761</v>
      </c>
      <c r="J103" s="2" t="s">
        <v>220</v>
      </c>
      <c r="K103">
        <f>$G$103*$C$147*$C$154</f>
        <v>1.1481338992988616E-07</v>
      </c>
      <c r="L103">
        <v>0</v>
      </c>
      <c r="M103">
        <f t="shared" si="5"/>
        <v>0</v>
      </c>
      <c r="AG103" s="9"/>
      <c r="AH103" s="6"/>
      <c r="AI103" s="9"/>
      <c r="AJ103" s="8"/>
    </row>
    <row r="104" spans="1:36" ht="12">
      <c r="A104" s="2" t="s">
        <v>222</v>
      </c>
      <c r="B104">
        <v>1</v>
      </c>
      <c r="C104" s="15">
        <f t="shared" si="3"/>
        <v>-0.08560809670650225</v>
      </c>
      <c r="D104" s="15">
        <f t="shared" si="4"/>
        <v>0.9179539098964861</v>
      </c>
      <c r="E104">
        <v>0.7</v>
      </c>
      <c r="F104" s="6">
        <f t="shared" si="12"/>
        <v>5.011872336272723</v>
      </c>
      <c r="G104" s="6">
        <f t="shared" si="11"/>
        <v>3.752084042769854</v>
      </c>
      <c r="H104" s="15">
        <f t="shared" si="13"/>
        <v>0.5742725575594829</v>
      </c>
      <c r="J104" s="2" t="s">
        <v>222</v>
      </c>
      <c r="K104">
        <f>$G$104*$C$147*$C$155</f>
        <v>2.9033182146934203E-09</v>
      </c>
      <c r="L104">
        <v>1</v>
      </c>
      <c r="M104">
        <f t="shared" si="5"/>
        <v>2.9033182146934203E-09</v>
      </c>
      <c r="AG104" s="9"/>
      <c r="AH104" s="6"/>
      <c r="AI104" s="9"/>
      <c r="AJ104" s="8"/>
    </row>
    <row r="105" spans="1:34" ht="12">
      <c r="A105" s="2" t="s">
        <v>224</v>
      </c>
      <c r="B105">
        <v>0</v>
      </c>
      <c r="C105" s="15">
        <f t="shared" si="3"/>
        <v>-0.0015333379034330869</v>
      </c>
      <c r="D105" s="15">
        <f t="shared" si="4"/>
        <v>0.9984678370585154</v>
      </c>
      <c r="E105">
        <v>0</v>
      </c>
      <c r="F105" s="6">
        <f t="shared" si="12"/>
        <v>1</v>
      </c>
      <c r="G105" s="6">
        <f t="shared" si="11"/>
        <v>0.8592650184840462</v>
      </c>
      <c r="H105" s="15">
        <f t="shared" si="13"/>
        <v>-0.0658728683990619</v>
      </c>
      <c r="J105" s="2" t="s">
        <v>224</v>
      </c>
      <c r="K105">
        <f>$G$105*$C$147*$C$157</f>
        <v>6.739997006717966E-12</v>
      </c>
      <c r="L105">
        <v>0</v>
      </c>
      <c r="M105">
        <f t="shared" si="5"/>
        <v>0</v>
      </c>
      <c r="AG105" s="9"/>
      <c r="AH105" s="6"/>
    </row>
    <row r="106" spans="1:36" ht="12">
      <c r="A106" s="2" t="s">
        <v>226</v>
      </c>
      <c r="B106">
        <v>0</v>
      </c>
      <c r="C106" s="15">
        <f t="shared" si="3"/>
        <v>-0.0015333379034330869</v>
      </c>
      <c r="D106" s="15">
        <f t="shared" si="4"/>
        <v>0.9984678370585154</v>
      </c>
      <c r="E106">
        <v>0</v>
      </c>
      <c r="F106" s="6">
        <f t="shared" si="12"/>
        <v>1</v>
      </c>
      <c r="G106" s="6">
        <f t="shared" si="11"/>
        <v>0.8590107530711041</v>
      </c>
      <c r="H106" s="15">
        <f t="shared" si="13"/>
        <v>-0.06600139964929969</v>
      </c>
      <c r="J106" s="2" t="s">
        <v>226</v>
      </c>
      <c r="K106">
        <f>$G$106*$C$147*$C$158</f>
        <v>1.9088728066845404E-11</v>
      </c>
      <c r="L106">
        <v>0</v>
      </c>
      <c r="M106">
        <f t="shared" si="5"/>
        <v>0</v>
      </c>
      <c r="AG106" s="9"/>
      <c r="AI106" s="9"/>
      <c r="AJ106" s="8"/>
    </row>
    <row r="107" spans="1:36" ht="12">
      <c r="A107" s="2" t="s">
        <v>229</v>
      </c>
      <c r="B107">
        <v>1</v>
      </c>
      <c r="C107" s="15">
        <f t="shared" si="3"/>
        <v>-0.08560809670650225</v>
      </c>
      <c r="D107" s="15">
        <f t="shared" si="4"/>
        <v>0.9179539098964861</v>
      </c>
      <c r="E107">
        <v>0</v>
      </c>
      <c r="F107" s="6">
        <f t="shared" si="12"/>
        <v>1</v>
      </c>
      <c r="G107" s="6">
        <f aca="true" t="shared" si="14" ref="G107:G115">F107*F46*$F$45/D107</f>
        <v>0.7494859449520243</v>
      </c>
      <c r="H107" s="15">
        <f t="shared" si="13"/>
        <v>-0.12523650702785993</v>
      </c>
      <c r="J107" s="2" t="s">
        <v>229</v>
      </c>
      <c r="K107">
        <f>$G$107*$C$148*$C$149</f>
        <v>1.1421911165541622E-09</v>
      </c>
      <c r="L107">
        <v>1</v>
      </c>
      <c r="M107">
        <f t="shared" si="5"/>
        <v>1.1421911165541622E-09</v>
      </c>
      <c r="AF107" t="s">
        <v>228</v>
      </c>
      <c r="AI107" s="9"/>
      <c r="AJ107" s="8"/>
    </row>
    <row r="108" spans="1:36" ht="12">
      <c r="A108" s="2" t="s">
        <v>231</v>
      </c>
      <c r="B108">
        <v>1</v>
      </c>
      <c r="C108" s="15">
        <f t="shared" si="3"/>
        <v>-0.08560809670650225</v>
      </c>
      <c r="D108" s="15">
        <f t="shared" si="4"/>
        <v>0.9179539098964861</v>
      </c>
      <c r="E108">
        <v>0</v>
      </c>
      <c r="F108" s="6">
        <f t="shared" si="12"/>
        <v>1</v>
      </c>
      <c r="G108" s="6">
        <f t="shared" si="14"/>
        <v>0.7499763920624393</v>
      </c>
      <c r="H108" s="15">
        <f t="shared" si="13"/>
        <v>-0.12495240721947336</v>
      </c>
      <c r="J108" s="2" t="s">
        <v>231</v>
      </c>
      <c r="K108">
        <f>$G$108*$C$148*$C$150</f>
        <v>1.7575612832484148E-12</v>
      </c>
      <c r="L108">
        <v>1</v>
      </c>
      <c r="M108">
        <f t="shared" si="5"/>
        <v>1.7575612832484148E-12</v>
      </c>
      <c r="AF108" t="s">
        <v>230</v>
      </c>
      <c r="AG108" s="9"/>
      <c r="AH108" s="17" t="s">
        <v>236</v>
      </c>
      <c r="AI108" s="9"/>
      <c r="AJ108" s="8" t="s">
        <v>237</v>
      </c>
    </row>
    <row r="109" spans="1:39" ht="12">
      <c r="A109" s="2" t="s">
        <v>238</v>
      </c>
      <c r="B109">
        <v>1</v>
      </c>
      <c r="C109" s="15">
        <f t="shared" si="3"/>
        <v>-0.08560809670650225</v>
      </c>
      <c r="D109" s="15">
        <f t="shared" si="4"/>
        <v>0.9179539098964861</v>
      </c>
      <c r="E109">
        <v>0.71</v>
      </c>
      <c r="F109" s="6">
        <f t="shared" si="12"/>
        <v>5.128613839913649</v>
      </c>
      <c r="G109" s="6">
        <f t="shared" si="14"/>
        <v>3.847400757383768</v>
      </c>
      <c r="H109" s="15">
        <f t="shared" si="13"/>
        <v>0.5851674261444579</v>
      </c>
      <c r="J109" s="2" t="s">
        <v>238</v>
      </c>
      <c r="K109">
        <f>$G$109*$C$148*$C$151</f>
        <v>2.1889274945444714E-12</v>
      </c>
      <c r="L109">
        <v>1</v>
      </c>
      <c r="M109">
        <f t="shared" si="5"/>
        <v>2.1889274945444714E-12</v>
      </c>
      <c r="AG109" s="9" t="s">
        <v>235</v>
      </c>
      <c r="AH109" s="6">
        <f>AG110</f>
        <v>195424.47810517636</v>
      </c>
      <c r="AI109" s="9"/>
      <c r="AJ109" s="8">
        <v>2.71</v>
      </c>
      <c r="AK109" s="6">
        <f>10^-AJ109/HFREE</f>
        <v>197433.86699166437</v>
      </c>
      <c r="AL109" s="6">
        <f>10^-AJ109/HFREE</f>
        <v>197433.86699166437</v>
      </c>
      <c r="AM109" t="s">
        <v>241</v>
      </c>
    </row>
    <row r="110" spans="1:39" ht="12">
      <c r="A110" s="2" t="s">
        <v>242</v>
      </c>
      <c r="B110">
        <v>1</v>
      </c>
      <c r="C110" s="15">
        <f t="shared" si="3"/>
        <v>-0.08560809670650225</v>
      </c>
      <c r="D110" s="15">
        <f t="shared" si="4"/>
        <v>0.9179539098964861</v>
      </c>
      <c r="E110">
        <v>0.5</v>
      </c>
      <c r="F110" s="6">
        <f t="shared" si="12"/>
        <v>3.1622776601683795</v>
      </c>
      <c r="G110" s="6">
        <f t="shared" si="14"/>
        <v>2.3698242398409337</v>
      </c>
      <c r="H110" s="15">
        <f t="shared" si="13"/>
        <v>0.3747161373612623</v>
      </c>
      <c r="J110" s="2" t="s">
        <v>242</v>
      </c>
      <c r="K110">
        <f>$G$110*$C$148*$C$152</f>
        <v>1.394170978758433E-16</v>
      </c>
      <c r="L110">
        <v>1</v>
      </c>
      <c r="M110">
        <f t="shared" si="5"/>
        <v>1.394170978758433E-16</v>
      </c>
      <c r="AF110" s="6">
        <v>0.00193</v>
      </c>
      <c r="AG110" s="6">
        <f>AF110/HFREE</f>
        <v>195424.47810517636</v>
      </c>
      <c r="AH110" s="6">
        <f>AG110+AG111</f>
        <v>881937885.0194693</v>
      </c>
      <c r="AI110" s="9"/>
      <c r="AJ110" s="8">
        <v>7.07</v>
      </c>
      <c r="AK110" s="6">
        <f>10^-AJ110/HFREE^2</f>
        <v>872656451.2382679</v>
      </c>
      <c r="AL110" s="6">
        <f>10^-AJ110/HFREE^2</f>
        <v>872656451.2382679</v>
      </c>
      <c r="AM110" s="2" t="s">
        <v>244</v>
      </c>
    </row>
    <row r="111" spans="1:39" ht="12">
      <c r="A111" s="2" t="s">
        <v>245</v>
      </c>
      <c r="B111">
        <v>0</v>
      </c>
      <c r="C111" s="15">
        <f t="shared" si="3"/>
        <v>-0.0015333379034330869</v>
      </c>
      <c r="D111" s="15">
        <f t="shared" si="4"/>
        <v>0.9984678370585154</v>
      </c>
      <c r="E111">
        <v>2.55</v>
      </c>
      <c r="F111" s="6">
        <f t="shared" si="12"/>
        <v>354.81338923357566</v>
      </c>
      <c r="G111" s="6">
        <f t="shared" si="14"/>
        <v>199.17394858177343</v>
      </c>
      <c r="H111" s="15">
        <f t="shared" si="13"/>
        <v>2.299232533248981</v>
      </c>
      <c r="J111" s="2" t="s">
        <v>245</v>
      </c>
      <c r="K111">
        <f>$G$111*$C$148*$C$153</f>
        <v>1.496770970199513E-08</v>
      </c>
      <c r="L111">
        <v>0</v>
      </c>
      <c r="M111">
        <f t="shared" si="5"/>
        <v>0</v>
      </c>
      <c r="AF111" s="20">
        <v>8.6E-08</v>
      </c>
      <c r="AG111" s="6">
        <f>AF111/HFREE^2</f>
        <v>881742460.5413641</v>
      </c>
      <c r="AH111" s="6">
        <f>AH110+AG112</f>
        <v>25797815967.844406</v>
      </c>
      <c r="AI111" s="9"/>
      <c r="AJ111" s="8">
        <v>13.6</v>
      </c>
      <c r="AK111" s="6">
        <f>10^-AJ111/HFREE^3</f>
        <v>26077440035.58116</v>
      </c>
      <c r="AM111" s="2" t="s">
        <v>247</v>
      </c>
    </row>
    <row r="112" spans="1:38" ht="12">
      <c r="A112" s="2" t="s">
        <v>248</v>
      </c>
      <c r="B112">
        <v>1</v>
      </c>
      <c r="C112" s="15">
        <f t="shared" si="3"/>
        <v>-0.08560809670650225</v>
      </c>
      <c r="D112" s="15">
        <f t="shared" si="4"/>
        <v>0.9179539098964861</v>
      </c>
      <c r="E112">
        <v>1.24</v>
      </c>
      <c r="F112" s="6">
        <f t="shared" si="12"/>
        <v>17.378008287493756</v>
      </c>
      <c r="G112" s="6">
        <f t="shared" si="14"/>
        <v>12.990453951309684</v>
      </c>
      <c r="H112" s="15">
        <f t="shared" si="13"/>
        <v>1.113624327755409</v>
      </c>
      <c r="J112" s="2" t="s">
        <v>248</v>
      </c>
      <c r="K112">
        <f>$G$112*$C$148*$C$154</f>
        <v>1.464913874376951E-08</v>
      </c>
      <c r="L112">
        <v>1</v>
      </c>
      <c r="M112">
        <f t="shared" si="5"/>
        <v>1.464913874376951E-08</v>
      </c>
      <c r="AF112" s="20">
        <v>2.4E-14</v>
      </c>
      <c r="AG112" s="6">
        <f>AF112/HFREE^3</f>
        <v>24915878082.824936</v>
      </c>
      <c r="AH112" s="6">
        <f>AH111+AG113</f>
        <v>47141108622.547806</v>
      </c>
      <c r="AI112" s="9"/>
      <c r="AJ112" s="19" t="s">
        <v>251</v>
      </c>
      <c r="AK112" s="9">
        <f>LOG10(SUM(AK109:AK111))</f>
        <v>10.430563505976789</v>
      </c>
      <c r="AL112" s="9">
        <f>LOG10(SUM(AL109:AL111))</f>
        <v>8.940941549314362</v>
      </c>
    </row>
    <row r="113" spans="1:38" ht="12">
      <c r="A113" s="2" t="s">
        <v>252</v>
      </c>
      <c r="B113">
        <v>0</v>
      </c>
      <c r="C113" s="15">
        <f t="shared" si="3"/>
        <v>-0.0015333379034330869</v>
      </c>
      <c r="D113" s="15">
        <f t="shared" si="4"/>
        <v>0.9984678370585154</v>
      </c>
      <c r="E113">
        <v>2.64</v>
      </c>
      <c r="F113" s="6">
        <f t="shared" si="12"/>
        <v>436.5158322401662</v>
      </c>
      <c r="G113" s="6">
        <f t="shared" si="14"/>
        <v>241.13008024158253</v>
      </c>
      <c r="H113" s="15">
        <f t="shared" si="13"/>
        <v>2.38225139066809</v>
      </c>
      <c r="J113" s="2" t="s">
        <v>252</v>
      </c>
      <c r="K113">
        <f>$G$113*$C$148*$C$155</f>
        <v>1.5692342682349533E-09</v>
      </c>
      <c r="L113">
        <v>0</v>
      </c>
      <c r="M113">
        <f t="shared" si="5"/>
        <v>0</v>
      </c>
      <c r="AF113" s="2" t="s">
        <v>250</v>
      </c>
      <c r="AG113" s="6">
        <f>10^MetalSpeciation!G107/HFREE^4</f>
        <v>21343292654.703396</v>
      </c>
      <c r="AH113" s="17" t="s">
        <v>255</v>
      </c>
      <c r="AI113" s="9"/>
      <c r="AJ113" s="8" t="s">
        <v>256</v>
      </c>
      <c r="AK113" s="9">
        <f>LOG10(SUM(AK109:AK111)+MetalSpeciation!H107)</f>
        <v>10.68388945994704</v>
      </c>
      <c r="AL113" s="9">
        <f>LOG10(SUM(AL109:AL111)+MetalSpeciation!H107)</f>
        <v>10.346668731399223</v>
      </c>
    </row>
    <row r="114" spans="1:36" ht="12">
      <c r="A114" s="2" t="s">
        <v>257</v>
      </c>
      <c r="B114">
        <v>1</v>
      </c>
      <c r="C114" s="15">
        <f t="shared" si="3"/>
        <v>-0.08560809670650225</v>
      </c>
      <c r="D114" s="15">
        <f t="shared" si="4"/>
        <v>0.9179539098964861</v>
      </c>
      <c r="E114">
        <v>1.7</v>
      </c>
      <c r="F114" s="6">
        <f t="shared" si="12"/>
        <v>50.11872336272724</v>
      </c>
      <c r="G114" s="6">
        <f t="shared" si="14"/>
        <v>37.595197645471856</v>
      </c>
      <c r="H114" s="15">
        <f t="shared" si="13"/>
        <v>1.5751323723405848</v>
      </c>
      <c r="J114" s="2" t="s">
        <v>257</v>
      </c>
      <c r="K114">
        <f>$G$114*$C$148*$C$157</f>
        <v>2.4801574706828926E-12</v>
      </c>
      <c r="L114">
        <v>1</v>
      </c>
      <c r="M114">
        <f t="shared" si="5"/>
        <v>2.4801574706828926E-12</v>
      </c>
      <c r="AG114" s="9"/>
      <c r="AH114" s="9">
        <f>LOG10(SUM(AG110:AG111)+AG113)</f>
        <v>10.346846274551597</v>
      </c>
      <c r="AI114" s="6"/>
      <c r="AJ114" s="8"/>
    </row>
    <row r="115" spans="1:37" ht="12">
      <c r="A115" s="2" t="s">
        <v>261</v>
      </c>
      <c r="B115">
        <v>1</v>
      </c>
      <c r="C115" s="15">
        <f t="shared" si="3"/>
        <v>-0.08560809670650225</v>
      </c>
      <c r="D115" s="15">
        <f t="shared" si="4"/>
        <v>0.9179539098964861</v>
      </c>
      <c r="E115">
        <v>0.55</v>
      </c>
      <c r="F115" s="6">
        <f t="shared" si="12"/>
        <v>3.5481338923357555</v>
      </c>
      <c r="G115" s="6">
        <f t="shared" si="14"/>
        <v>2.660748592519037</v>
      </c>
      <c r="H115" s="15">
        <f t="shared" si="13"/>
        <v>0.425003841090347</v>
      </c>
      <c r="J115" s="2" t="s">
        <v>261</v>
      </c>
      <c r="K115">
        <f>$G$115*$C$148*$C$158</f>
        <v>4.972749054730945E-13</v>
      </c>
      <c r="L115">
        <v>1</v>
      </c>
      <c r="M115">
        <f t="shared" si="5"/>
        <v>4.972749054730945E-13</v>
      </c>
      <c r="AF115" s="2" t="s">
        <v>260</v>
      </c>
      <c r="AG115" s="9">
        <f>LOG10(SUM(AG110:AG113))</f>
        <v>10.673399791658683</v>
      </c>
      <c r="AH115" s="9">
        <f>LOG10(SUM(AG110:AG111))</f>
        <v>8.945437998801623</v>
      </c>
      <c r="AK115" t="s">
        <v>265</v>
      </c>
    </row>
    <row r="116" spans="1:38" ht="12">
      <c r="A116" s="2" t="s">
        <v>266</v>
      </c>
      <c r="C116" s="15"/>
      <c r="D116" s="15"/>
      <c r="E116" s="13"/>
      <c r="F116" s="6"/>
      <c r="G116" s="6">
        <f>10^$H$131*$B$154*$B$143</f>
        <v>2008578.103457649</v>
      </c>
      <c r="H116" s="15">
        <f t="shared" si="13"/>
        <v>6.302888723914929</v>
      </c>
      <c r="I116" s="2" t="s">
        <v>267</v>
      </c>
      <c r="M116" s="2" t="s">
        <v>268</v>
      </c>
      <c r="AF116" s="2" t="s">
        <v>264</v>
      </c>
      <c r="AG116" s="21"/>
      <c r="AH116" s="6"/>
      <c r="AJ116" s="8"/>
      <c r="AK116" t="s">
        <v>270</v>
      </c>
      <c r="AL116" s="6">
        <v>4.666917898284871E-19</v>
      </c>
    </row>
    <row r="117" spans="1:37" ht="12">
      <c r="A117" s="2" t="s">
        <v>271</v>
      </c>
      <c r="C117" s="15"/>
      <c r="D117" s="15"/>
      <c r="E117" s="13"/>
      <c r="F117" s="6"/>
      <c r="G117" s="6">
        <f>10^$H$132*$B$143*$B$155/$B$154</f>
        <v>17545793894.24479</v>
      </c>
      <c r="H117" s="15">
        <f t="shared" si="13"/>
        <v>10.244173023511207</v>
      </c>
      <c r="I117" s="2" t="s">
        <v>267</v>
      </c>
      <c r="M117">
        <f>SUM(M71:M115)/2</f>
        <v>4.130378941509823E-06</v>
      </c>
      <c r="N117" s="2" t="s">
        <v>272</v>
      </c>
      <c r="AG117" s="9"/>
      <c r="AH117" s="2" t="s">
        <v>277</v>
      </c>
      <c r="AJ117" s="8"/>
      <c r="AK117" t="s">
        <v>278</v>
      </c>
    </row>
    <row r="118" spans="1:38" ht="12">
      <c r="A118" s="2" t="s">
        <v>279</v>
      </c>
      <c r="B118">
        <v>0</v>
      </c>
      <c r="C118" s="15">
        <f>-1.176*B118^2*$C$38^0.5/(1+B61*$C$38^0.5)+$C61*$C$38</f>
        <v>0.00010222252689553913</v>
      </c>
      <c r="D118" s="15">
        <f>EXP(C118)</f>
        <v>1.0001022277517961</v>
      </c>
      <c r="E118">
        <v>9.236</v>
      </c>
      <c r="F118" s="6">
        <f>10^E118</f>
        <v>1721868574.9860153</v>
      </c>
      <c r="G118" s="6">
        <f>F118*F53*$F$40/D118</f>
        <v>1483943019.752496</v>
      </c>
      <c r="H118" s="15">
        <f t="shared" si="13"/>
        <v>9.171417225281173</v>
      </c>
      <c r="L118" s="2" t="s">
        <v>280</v>
      </c>
      <c r="AG118" s="9"/>
      <c r="AH118" s="20">
        <v>470000</v>
      </c>
      <c r="AI118" s="9"/>
      <c r="AJ118" s="8"/>
      <c r="AK118">
        <v>8.93</v>
      </c>
      <c r="AL118" s="6">
        <f>10^AK118*$AL$116</f>
        <v>3.9721913443977427E-10</v>
      </c>
    </row>
    <row r="119" spans="1:38" ht="12">
      <c r="A119" s="2" t="s">
        <v>129</v>
      </c>
      <c r="B119">
        <v>0</v>
      </c>
      <c r="C119" s="15">
        <f>-1.176*B119^2*$C$38^0.5/(1+B62*$C$38^0.5)+$C62*$C$38</f>
        <v>0.0010222252689553915</v>
      </c>
      <c r="D119" s="15">
        <f>EXP(C119)</f>
        <v>1.0010227479192793</v>
      </c>
      <c r="E119">
        <v>3.17</v>
      </c>
      <c r="F119" s="6">
        <f>10^E119</f>
        <v>1479.1083881682086</v>
      </c>
      <c r="G119" s="6">
        <f>G124/B158</f>
        <v>1315.074587581444</v>
      </c>
      <c r="H119" s="15">
        <f t="shared" si="13"/>
        <v>3.118950385568286</v>
      </c>
      <c r="I119" s="2" t="s">
        <v>284</v>
      </c>
      <c r="AG119" s="22" t="s">
        <v>283</v>
      </c>
      <c r="AH119" s="6" t="s">
        <v>287</v>
      </c>
      <c r="AK119">
        <v>10.18</v>
      </c>
      <c r="AL119" s="6">
        <f>10^AK119*$AL$116</f>
        <v>7.0636660804773496E-09</v>
      </c>
    </row>
    <row r="120" spans="1:38" ht="12">
      <c r="A120" s="2" t="s">
        <v>288</v>
      </c>
      <c r="C120" s="15"/>
      <c r="D120" s="15">
        <v>1</v>
      </c>
      <c r="E120">
        <v>14.004</v>
      </c>
      <c r="F120" s="6">
        <f>10^E120</f>
        <v>100925288607668.86</v>
      </c>
      <c r="G120" s="6">
        <f>$F$120*$F$40*$F$48</f>
        <v>86995477010792.92</v>
      </c>
      <c r="H120" s="15">
        <f>LOG10(K*H)</f>
        <v>13.939496673764403</v>
      </c>
      <c r="AF120" t="s">
        <v>275</v>
      </c>
      <c r="AG120" s="9" t="s">
        <v>286</v>
      </c>
      <c r="AH120" s="6">
        <f>AF121*10^AH114</f>
        <v>1.006188100835537E-08</v>
      </c>
      <c r="AI120" s="9"/>
      <c r="AJ120" s="8"/>
      <c r="AK120">
        <v>10.42</v>
      </c>
      <c r="AL120" s="6">
        <f>10^AK120*$AL$116</f>
        <v>1.2275244768662406E-08</v>
      </c>
    </row>
    <row r="121" spans="1:38" ht="12">
      <c r="A121" s="2" t="s">
        <v>103</v>
      </c>
      <c r="C121" s="15"/>
      <c r="D121" s="15"/>
      <c r="E121" s="9">
        <f>1/(647.59/TEMP-6.3451+0.019085*TEMP-0.5208*0)</f>
        <v>0.6591435306895217</v>
      </c>
      <c r="F121" s="6">
        <f>10^E121</f>
        <v>4.561876572411963</v>
      </c>
      <c r="G121" s="6">
        <f>G125*B153/B152</f>
        <v>79.26815216838621</v>
      </c>
      <c r="H121" s="15">
        <f>LOG10(G121)</f>
        <v>1.899098734408526</v>
      </c>
      <c r="I121" s="2" t="s">
        <v>291</v>
      </c>
      <c r="AF121" s="6">
        <f>AH118*HFREE^3</f>
        <v>4.527233582739174E-19</v>
      </c>
      <c r="AG121" s="6">
        <f>AF121*10^AG115</f>
        <v>2.134188100835547E-08</v>
      </c>
      <c r="AH121" t="s">
        <v>293</v>
      </c>
      <c r="AI121" s="9"/>
      <c r="AJ121" s="8"/>
      <c r="AK121">
        <v>11.3</v>
      </c>
      <c r="AL121" s="6">
        <f>10^AK121*$AL$116</f>
        <v>9.311725409501623E-08</v>
      </c>
    </row>
    <row r="122" spans="1:36" ht="12">
      <c r="A122" s="2" t="s">
        <v>294</v>
      </c>
      <c r="B122" s="2" t="s">
        <v>295</v>
      </c>
      <c r="C122" s="23"/>
      <c r="D122" s="23"/>
      <c r="E122" s="13"/>
      <c r="F122" s="6"/>
      <c r="G122" s="6"/>
      <c r="H122" s="9">
        <v>11.32</v>
      </c>
      <c r="I122" s="2" t="s">
        <v>296</v>
      </c>
      <c r="AF122" s="9">
        <f>-LOG10(AF121)</f>
        <v>18.34416709749113</v>
      </c>
      <c r="AH122" s="6">
        <f>AF121*10^AH115</f>
        <v>3.9927388109501055E-10</v>
      </c>
      <c r="AI122" s="9"/>
      <c r="AJ122" s="8"/>
    </row>
    <row r="123" spans="3:36" ht="12">
      <c r="C123" s="23"/>
      <c r="D123" s="23"/>
      <c r="E123" s="13"/>
      <c r="F123" s="6"/>
      <c r="G123" s="6"/>
      <c r="H123" s="13"/>
      <c r="AH123" s="6"/>
      <c r="AI123" s="9"/>
      <c r="AJ123" s="8"/>
    </row>
    <row r="124" spans="1:36" ht="12">
      <c r="A124" s="2" t="s">
        <v>298</v>
      </c>
      <c r="G124" s="6">
        <f>EXP(-1590.2/TEMP+12.641-1.525*IFORMAL^0.5)</f>
        <v>1336.4779168355576</v>
      </c>
      <c r="H124" s="9">
        <f>LOG10(G124)</f>
        <v>3.1259617871286993</v>
      </c>
      <c r="I124" s="2" t="s">
        <v>299</v>
      </c>
      <c r="L124" s="2" t="s">
        <v>300</v>
      </c>
      <c r="M124" s="2" t="s">
        <v>301</v>
      </c>
      <c r="AG124" s="6"/>
      <c r="AH124" s="6"/>
      <c r="AI124" s="9"/>
      <c r="AJ124" s="8"/>
    </row>
    <row r="125" spans="1:36" ht="12">
      <c r="A125" s="2" t="s">
        <v>303</v>
      </c>
      <c r="G125" s="6">
        <f>10^H125</f>
        <v>75.60539753250232</v>
      </c>
      <c r="H125" s="9">
        <f>(-1226.966+65.6*SAL^0.5)/TEMP+(6.09405-0.4502*SAL^0.5+0.013525*SAL)</f>
        <v>1.8785528012539228</v>
      </c>
      <c r="I125" s="2" t="s">
        <v>304</v>
      </c>
      <c r="M125" s="9">
        <f>(647.59/TEMP-6.3451+0.019085*TEMP-0.5208*IFORMAL^0.5)</f>
        <v>1.479673860975732</v>
      </c>
      <c r="AG125" s="9"/>
      <c r="AH125" s="6"/>
      <c r="AI125" s="9"/>
      <c r="AJ125" s="8"/>
    </row>
    <row r="126" spans="1:36" ht="12">
      <c r="A126" s="2" t="s">
        <v>306</v>
      </c>
      <c r="E126" s="3" t="s">
        <v>307</v>
      </c>
      <c r="F126" s="9">
        <f>-(225.838-13275.3/TEMP-34.6435*LN(TEMP)+0.3449*SAL^0.5-0.0274*SAL)</f>
        <v>15.923502222045174</v>
      </c>
      <c r="G126" s="6">
        <f>EXP(F126)</f>
        <v>8231692.668537678</v>
      </c>
      <c r="H126" s="9">
        <f>LOG10(G126)</f>
        <v>6.915489147608389</v>
      </c>
      <c r="I126" s="2" t="s">
        <v>308</v>
      </c>
      <c r="AG126" s="9"/>
      <c r="AH126" s="6"/>
      <c r="AI126" s="9"/>
      <c r="AJ126" s="8"/>
    </row>
    <row r="127" spans="1:36" ht="12">
      <c r="A127" s="2" t="s">
        <v>310</v>
      </c>
      <c r="G127" s="6">
        <f>10^H127</f>
        <v>39810717055349.79</v>
      </c>
      <c r="H127">
        <v>13.6</v>
      </c>
      <c r="I127" s="2" t="s">
        <v>311</v>
      </c>
      <c r="AG127" s="9"/>
      <c r="AH127" s="6"/>
      <c r="AI127" s="9"/>
      <c r="AJ127" s="8"/>
    </row>
    <row r="128" spans="1:36" ht="12">
      <c r="A128" s="2" t="s">
        <v>313</v>
      </c>
      <c r="E128" s="2" t="s">
        <v>314</v>
      </c>
      <c r="H128" s="9">
        <f>937.7/TEMP-0.149*CHLOR%^(1/3)+4.433</f>
        <v>7.506516158589388</v>
      </c>
      <c r="I128" s="2" t="s">
        <v>315</v>
      </c>
      <c r="AG128" s="9"/>
      <c r="AH128" s="6"/>
      <c r="AI128" s="9"/>
      <c r="AJ128" s="8"/>
    </row>
    <row r="129" spans="33:36" ht="12">
      <c r="AG129" s="9"/>
      <c r="AH129" s="6"/>
      <c r="AI129" s="9"/>
      <c r="AJ129" s="8"/>
    </row>
    <row r="130" spans="1:34" ht="12">
      <c r="A130" s="2" t="s">
        <v>318</v>
      </c>
      <c r="G130" s="6"/>
      <c r="AG130" s="9"/>
      <c r="AH130" s="6"/>
    </row>
    <row r="131" spans="1:36" ht="12">
      <c r="A131" s="2" t="s">
        <v>320</v>
      </c>
      <c r="E131" s="13">
        <f>6320.81/TEMP-126.3405+19.568*LN(TEMP)</f>
        <v>6.350173150749484</v>
      </c>
      <c r="F131" s="6">
        <f>10^E131</f>
        <v>2239613.881957086</v>
      </c>
      <c r="G131" s="6">
        <f>10^$H$131</f>
        <v>1974865.0290053769</v>
      </c>
      <c r="H131" s="13">
        <f>E131+(-840.39/TEMP+19.894-3.0189*LN(TEMP))*SAL^0.5+0.00668*SAL</f>
        <v>6.295537419374522</v>
      </c>
      <c r="I131" s="2" t="s">
        <v>321</v>
      </c>
      <c r="AG131" s="9"/>
      <c r="AJ131" s="8"/>
    </row>
    <row r="132" spans="1:36" ht="12">
      <c r="A132" s="2" t="s">
        <v>323</v>
      </c>
      <c r="E132" s="13">
        <f>5143.69/TEMP-90.1833+14.613*LN(TEMP)</f>
        <v>10.327701599513361</v>
      </c>
      <c r="F132" s="6">
        <f>10^E132</f>
        <v>21266773198.072025</v>
      </c>
      <c r="G132" s="6">
        <f>10^$H$132</f>
        <v>14770949282.695972</v>
      </c>
      <c r="H132" s="13">
        <f>E132+(-690.59/TEMP+17.176-2.6719*LN(TEMP))*SAL^0.5+0.0217*SAL</f>
        <v>10.169408406956414</v>
      </c>
      <c r="I132" s="2" t="s">
        <v>324</v>
      </c>
      <c r="AJ132" s="8"/>
    </row>
    <row r="133" spans="1:36" ht="12">
      <c r="A133" s="2" t="s">
        <v>325</v>
      </c>
      <c r="C133" s="23"/>
      <c r="D133" s="23"/>
      <c r="F133" s="21"/>
      <c r="G133" s="6">
        <f>G118/(B143*B157)</f>
        <v>1450181435.9434555</v>
      </c>
      <c r="H133" s="15">
        <f>LOG10(G133)</f>
        <v>9.161422341338168</v>
      </c>
      <c r="AH133" s="6"/>
      <c r="AJ133" s="8"/>
    </row>
    <row r="134" spans="1:36" ht="12">
      <c r="A134" s="2" t="s">
        <v>327</v>
      </c>
      <c r="C134" s="23"/>
      <c r="D134" s="23"/>
      <c r="F134" s="21"/>
      <c r="G134" s="8">
        <f>G124/B143</f>
        <v>1319.8972843639415</v>
      </c>
      <c r="H134" s="15">
        <f>LOG10(G134)</f>
        <v>3.1205401353197506</v>
      </c>
      <c r="AG134" s="9"/>
      <c r="AH134" s="6"/>
      <c r="AJ134" s="8"/>
    </row>
    <row r="135" spans="1:36" ht="12">
      <c r="A135" s="2" t="s">
        <v>329</v>
      </c>
      <c r="F135" s="21"/>
      <c r="G135" s="6">
        <f>K*H/(B143*B151)</f>
        <v>82795369332582.94</v>
      </c>
      <c r="H135" s="15">
        <f>LOG10(G135)</f>
        <v>13.91800604778072</v>
      </c>
      <c r="AG135" s="9"/>
      <c r="AJ135" s="8"/>
    </row>
    <row r="136" spans="1:36" ht="12">
      <c r="A136" s="2" t="s">
        <v>331</v>
      </c>
      <c r="F136" s="21"/>
      <c r="G136" s="9">
        <f>G125/B143</f>
        <v>74.66742071031507</v>
      </c>
      <c r="H136" s="15">
        <f>LOG10(G136)</f>
        <v>1.8731311494449745</v>
      </c>
      <c r="AJ136" s="8"/>
    </row>
    <row r="137" spans="1:36" ht="12">
      <c r="A137" s="2" t="s">
        <v>333</v>
      </c>
      <c r="G137" s="15">
        <f>10^$H$137</f>
        <v>0.034186327796573816</v>
      </c>
      <c r="H137" s="9">
        <f>2385.73/TEMP-14.0184+0.0152642*TEMP-IFORMAL*(0.28956-6.167*10^-4*TEMP)</f>
        <v>-1.4661475474437347</v>
      </c>
      <c r="I137" s="2" t="s">
        <v>334</v>
      </c>
      <c r="AG137" s="9"/>
      <c r="AH137" s="6"/>
      <c r="AJ137" s="8"/>
    </row>
    <row r="138" spans="2:36" ht="12">
      <c r="B138" s="2" t="s">
        <v>336</v>
      </c>
      <c r="AG138" s="9"/>
      <c r="AH138" s="6"/>
      <c r="AI138" s="9"/>
      <c r="AJ138" s="8"/>
    </row>
    <row r="139" spans="1:34" ht="12">
      <c r="A139" s="2" t="s">
        <v>338</v>
      </c>
      <c r="AG139" s="9"/>
      <c r="AH139" s="6"/>
    </row>
    <row r="140" spans="1:34" ht="12">
      <c r="A140" s="2" t="s">
        <v>340</v>
      </c>
      <c r="AG140" s="9"/>
      <c r="AH140" s="6"/>
    </row>
    <row r="141" spans="1:36" ht="12">
      <c r="A141" s="2" t="s">
        <v>342</v>
      </c>
      <c r="B141" s="2" t="s">
        <v>343</v>
      </c>
      <c r="C141" s="2" t="s">
        <v>344</v>
      </c>
      <c r="D141" s="3" t="s">
        <v>81</v>
      </c>
      <c r="E141" s="7" t="s">
        <v>345</v>
      </c>
      <c r="AG141" s="9"/>
      <c r="AH141" s="6"/>
      <c r="AJ141" s="8"/>
    </row>
    <row r="142" spans="5:36" ht="12">
      <c r="E142" s="7" t="s">
        <v>347</v>
      </c>
      <c r="AG142" s="9"/>
      <c r="AH142" s="6"/>
      <c r="AJ142" s="8"/>
    </row>
    <row r="143" spans="1:36" ht="12">
      <c r="A143" s="2" t="s">
        <v>85</v>
      </c>
      <c r="B143" s="9">
        <f>1+D27*G136+D30*G134</f>
        <v>1.0125620627211203</v>
      </c>
      <c r="C143" s="21">
        <f>10^-PHSW/B143</f>
        <v>9.875937849307118E-09</v>
      </c>
      <c r="D143">
        <v>1</v>
      </c>
      <c r="E143" s="23">
        <f aca="true" t="shared" si="15" ref="E143:E159">D143^2*C143</f>
        <v>9.875937849307118E-09</v>
      </c>
      <c r="F143" s="23"/>
      <c r="AG143" s="9"/>
      <c r="AH143" s="6"/>
      <c r="AJ143" s="8"/>
    </row>
    <row r="144" spans="1:36" ht="12">
      <c r="A144" s="2" t="s">
        <v>87</v>
      </c>
      <c r="B144" s="9">
        <f>1+G73*OHFREE+G74*HSO4FREE+G75*SO4FREE+G77*HCO3FREE+G78*CO3FREE+G79*BOH4FREE+G80*FFREE</f>
        <v>1.0094596108475113</v>
      </c>
      <c r="C144" s="21">
        <f>$D$20/$B$144</f>
        <v>0.002652621518424258</v>
      </c>
      <c r="D144">
        <v>1</v>
      </c>
      <c r="E144" s="23">
        <f t="shared" si="15"/>
        <v>0.002652621518424258</v>
      </c>
      <c r="F144" s="23"/>
      <c r="AG144" s="9"/>
      <c r="AH144" s="6"/>
      <c r="AJ144" s="8"/>
    </row>
    <row r="145" spans="1:36" ht="12">
      <c r="A145" s="2" t="s">
        <v>351</v>
      </c>
      <c r="B145" s="9">
        <f>1+G82*OHFREE+G83*HSO4FREE+G84*SO4FREE+G85*HCO3FREE+G86*CO3FREE+G87*BOH4FREE+G88*FFREE</f>
        <v>1.0413969375061511</v>
      </c>
      <c r="C145" s="21">
        <f>$D$21/$B$145</f>
        <v>0.0002921350740257718</v>
      </c>
      <c r="D145">
        <v>2</v>
      </c>
      <c r="E145" s="23">
        <f t="shared" si="15"/>
        <v>0.0011685402961030872</v>
      </c>
      <c r="F145" s="23"/>
      <c r="AG145" s="9"/>
      <c r="AH145" s="6"/>
      <c r="AJ145" s="8"/>
    </row>
    <row r="146" spans="1:36" ht="12">
      <c r="A146" s="2" t="s">
        <v>353</v>
      </c>
      <c r="B146" s="9">
        <f>1+G89*OHFREE+G90*HSO4FREE+G91*SO4FREE+G92*HCO3FREE+G93*CO3FREE+G94*BOH4FREE+G95*FFREE</f>
        <v>1.0069001316653272</v>
      </c>
      <c r="C146" s="21">
        <f>$D$22/$B$146</f>
        <v>5.8334626255333406E-05</v>
      </c>
      <c r="D146">
        <v>2</v>
      </c>
      <c r="E146" s="23">
        <f t="shared" si="15"/>
        <v>0.00023333850502133363</v>
      </c>
      <c r="F146" s="23"/>
      <c r="AG146" s="9"/>
      <c r="AJ146" s="8"/>
    </row>
    <row r="147" spans="1:36" ht="12">
      <c r="A147" s="2" t="s">
        <v>93</v>
      </c>
      <c r="B147" s="9">
        <f>1+G102*SO4FREE+G103*HCO3FREE+G104*CO3FREE</f>
        <v>1.0028534260698272</v>
      </c>
      <c r="C147" s="21">
        <f>$D$23/$B$147</f>
        <v>5.8119873523427484E-05</v>
      </c>
      <c r="D147">
        <v>1</v>
      </c>
      <c r="E147" s="23">
        <f t="shared" si="15"/>
        <v>5.8119873523427484E-05</v>
      </c>
      <c r="F147" s="23"/>
      <c r="AJ147" s="8"/>
    </row>
    <row r="148" spans="1:36" ht="12">
      <c r="A148" s="2" t="s">
        <v>355</v>
      </c>
      <c r="B148" s="9">
        <f>1+G109*OHFREE+G110*HSO4FREE+G111*SO4FREE+G112*HCO3FREE+G113*CO3FREE+G114*BOH4FREE+G115*FFREE</f>
        <v>1.063810742264918</v>
      </c>
      <c r="C148" s="21">
        <f>$D$24/$B$148</f>
        <v>4.888087507867127E-07</v>
      </c>
      <c r="D148">
        <v>2</v>
      </c>
      <c r="E148" s="23">
        <f t="shared" si="15"/>
        <v>1.955235003146851E-06</v>
      </c>
      <c r="F148" s="23"/>
      <c r="AH148" s="6"/>
      <c r="AJ148" s="8"/>
    </row>
    <row r="149" spans="1:36" ht="12">
      <c r="A149" s="2" t="s">
        <v>97</v>
      </c>
      <c r="B149">
        <v>1</v>
      </c>
      <c r="C149" s="21">
        <f>$D$25/$B$149</f>
        <v>0.0031177142857142857</v>
      </c>
      <c r="D149">
        <v>1</v>
      </c>
      <c r="E149" s="23">
        <f t="shared" si="15"/>
        <v>0.0031177142857142857</v>
      </c>
      <c r="F149" s="23"/>
      <c r="AG149" s="9"/>
      <c r="AH149" s="6"/>
      <c r="AJ149" s="8"/>
    </row>
    <row r="150" spans="1:36" ht="12">
      <c r="A150" s="2" t="s">
        <v>99</v>
      </c>
      <c r="B150">
        <v>1</v>
      </c>
      <c r="C150" s="21">
        <f>$D$26/$B$150</f>
        <v>4.794285714285715E-06</v>
      </c>
      <c r="D150">
        <v>1</v>
      </c>
      <c r="E150" s="23">
        <f t="shared" si="15"/>
        <v>4.794285714285715E-06</v>
      </c>
      <c r="F150" s="23"/>
      <c r="AG150" s="9"/>
      <c r="AH150" s="6"/>
      <c r="AJ150" s="8"/>
    </row>
    <row r="151" spans="1:36" ht="12">
      <c r="A151" s="2" t="s">
        <v>101</v>
      </c>
      <c r="B151" s="9">
        <f>1+$G$73*NAFREE+$G$100*KFREE+$G$82*MGFREE+$G$91*CAFREE+$G$109*SRFREE</f>
        <v>1.037693208032235</v>
      </c>
      <c r="C151" s="21">
        <f>1/($C$143*K*H)</f>
        <v>1.1639249504839187E-06</v>
      </c>
      <c r="D151">
        <v>1</v>
      </c>
      <c r="E151" s="23">
        <f t="shared" si="15"/>
        <v>1.1639249504839187E-06</v>
      </c>
      <c r="F151" s="23"/>
      <c r="AG151" s="9"/>
      <c r="AH151" s="6"/>
      <c r="AJ151" s="8"/>
    </row>
    <row r="152" spans="1:36" ht="12">
      <c r="A152" s="2" t="s">
        <v>103</v>
      </c>
      <c r="B152" s="9">
        <f>1+$G$74*NAFREE+$G$83*MGFREE+$G$92*CAFREE+$G$101*KFREE+$G$110*SRFREE</f>
        <v>1.0011439799548367</v>
      </c>
      <c r="C152" s="21">
        <f>$B$180/$B$152</f>
        <v>1.203541108193003E-10</v>
      </c>
      <c r="D152">
        <v>1</v>
      </c>
      <c r="E152" s="23">
        <f t="shared" si="15"/>
        <v>1.203541108193003E-10</v>
      </c>
      <c r="F152" s="23"/>
      <c r="AH152" s="6"/>
      <c r="AJ152" s="8"/>
    </row>
    <row r="153" spans="1:36" ht="12">
      <c r="A153" s="2" t="s">
        <v>105</v>
      </c>
      <c r="B153" s="9">
        <f>1+$G$75*NAFREE+$G$84*MGFREE+$G$93*CAFREE+$G$102*KFREE+$G$111*SRFREE</f>
        <v>1.0496450774087642</v>
      </c>
      <c r="C153" s="21">
        <f>$B$181/$B$153</f>
        <v>0.00015373892714098074</v>
      </c>
      <c r="D153">
        <v>2</v>
      </c>
      <c r="E153" s="23">
        <f t="shared" si="15"/>
        <v>0.000614955708563923</v>
      </c>
      <c r="F153" s="23"/>
      <c r="AH153" s="6"/>
      <c r="AJ153" s="8"/>
    </row>
    <row r="154" spans="1:36" ht="12">
      <c r="A154" s="2" t="s">
        <v>107</v>
      </c>
      <c r="B154" s="9">
        <f>1+$G$76*NAFREE+$G$85*MGFREE+$G$94*CAFREE+$G$103*KFREE+$G$112*SRFREE</f>
        <v>1.0044530752168632</v>
      </c>
      <c r="C154" s="21">
        <f>HCO3SW/$B$154</f>
        <v>0.002307006363015935</v>
      </c>
      <c r="D154">
        <v>1</v>
      </c>
      <c r="E154" s="23">
        <f t="shared" si="15"/>
        <v>0.002307006363015935</v>
      </c>
      <c r="F154" s="23"/>
      <c r="AH154" s="6"/>
      <c r="AI154" s="9"/>
      <c r="AJ154" s="8"/>
    </row>
    <row r="155" spans="1:6" ht="12">
      <c r="A155" s="2" t="s">
        <v>109</v>
      </c>
      <c r="B155" s="9">
        <f>1+G77*NAFREE+G86*MGFREE+G95*CAFREE+G104*KFREE+G113*SRFREE</f>
        <v>1.178345418218745</v>
      </c>
      <c r="C155" s="21">
        <f>CO3SW/$B$155</f>
        <v>1.3313658736253556E-05</v>
      </c>
      <c r="D155">
        <v>2</v>
      </c>
      <c r="E155" s="23">
        <f t="shared" si="15"/>
        <v>5.3254634945014225E-05</v>
      </c>
      <c r="F155" s="23"/>
    </row>
    <row r="156" spans="1:36" ht="12">
      <c r="A156" s="2" t="s">
        <v>367</v>
      </c>
      <c r="B156">
        <v>1</v>
      </c>
      <c r="C156" s="21">
        <f>$B$186/$B$156</f>
        <v>4.576314515318274E-05</v>
      </c>
      <c r="D156">
        <v>0</v>
      </c>
      <c r="E156" s="23">
        <f t="shared" si="15"/>
        <v>0</v>
      </c>
      <c r="F156" s="23"/>
      <c r="AJ156" s="8"/>
    </row>
    <row r="157" spans="1:36" ht="12">
      <c r="A157" s="2" t="s">
        <v>111</v>
      </c>
      <c r="B157" s="9">
        <f>1+G78*NAFREE+G87*MGFREE+G96*CAFREE+G105*KFREE+G114*SRFREE</f>
        <v>1.0105858944094364</v>
      </c>
      <c r="C157" s="21">
        <f>$B$184/$B$157</f>
        <v>1.349608831539169E-07</v>
      </c>
      <c r="D157">
        <v>1</v>
      </c>
      <c r="E157" s="23">
        <f t="shared" si="15"/>
        <v>1.349608831539169E-07</v>
      </c>
      <c r="F157" s="23"/>
      <c r="AJ157" s="8"/>
    </row>
    <row r="158" spans="1:36" ht="12">
      <c r="A158" s="2" t="s">
        <v>114</v>
      </c>
      <c r="B158" s="9">
        <f>1+G79*NAFREE+G88*MGFREE+G97*CAFREE+G106*KFREE+G115*SRFREE</f>
        <v>1.0162753728619125</v>
      </c>
      <c r="C158" s="21">
        <f>$B$185/$B$158</f>
        <v>3.8234351660136625E-07</v>
      </c>
      <c r="D158">
        <v>1</v>
      </c>
      <c r="E158" s="23">
        <f t="shared" si="15"/>
        <v>3.8234351660136625E-07</v>
      </c>
      <c r="F158" s="23"/>
      <c r="AH158" s="6"/>
      <c r="AJ158" s="8"/>
    </row>
    <row r="159" spans="1:36" ht="12">
      <c r="A159" s="2" t="s">
        <v>129</v>
      </c>
      <c r="B159">
        <v>1</v>
      </c>
      <c r="C159">
        <f>$B$187/$B$159</f>
        <v>5.128676040272678E-12</v>
      </c>
      <c r="D159">
        <v>0</v>
      </c>
      <c r="E159" s="23">
        <f t="shared" si="15"/>
        <v>0</v>
      </c>
      <c r="F159" s="23"/>
      <c r="AG159" s="9"/>
      <c r="AH159" s="6"/>
      <c r="AJ159" s="8"/>
    </row>
    <row r="160" spans="5:36" ht="12">
      <c r="E160" s="3" t="s">
        <v>268</v>
      </c>
      <c r="AG160" s="9"/>
      <c r="AH160" s="6"/>
      <c r="AJ160" s="8"/>
    </row>
    <row r="161" spans="5:36" ht="12">
      <c r="E161" s="23">
        <f>SUM(E143:E159)/2</f>
        <v>0.005106995965835447</v>
      </c>
      <c r="F161" s="14" t="s">
        <v>371</v>
      </c>
      <c r="AG161" s="9"/>
      <c r="AH161" s="6"/>
      <c r="AI161" s="9"/>
      <c r="AJ161" s="8"/>
    </row>
    <row r="162" spans="6:34" ht="12">
      <c r="F162" s="23"/>
      <c r="AG162" s="9"/>
      <c r="AH162" s="6"/>
    </row>
    <row r="163" spans="6:36" ht="12">
      <c r="F163" s="23"/>
      <c r="AG163" s="9"/>
      <c r="AH163" s="6"/>
      <c r="AJ163" s="8"/>
    </row>
    <row r="164" spans="33:36" ht="12">
      <c r="AG164" s="9"/>
      <c r="AH164" s="6"/>
      <c r="AJ164" s="8"/>
    </row>
    <row r="165" spans="33:36" ht="12">
      <c r="AG165" s="9"/>
      <c r="AH165" s="6"/>
      <c r="AI165" s="9"/>
      <c r="AJ165" s="8"/>
    </row>
    <row r="166" spans="33:34" ht="12">
      <c r="AG166" s="9"/>
      <c r="AH166" s="6"/>
    </row>
    <row r="167" spans="33:36" ht="12">
      <c r="AG167" s="9"/>
      <c r="AH167" s="6"/>
      <c r="AJ167" s="8"/>
    </row>
    <row r="168" spans="33:36" ht="12">
      <c r="AG168" s="9"/>
      <c r="AH168" s="6"/>
      <c r="AI168" s="9"/>
      <c r="AJ168" s="8"/>
    </row>
    <row r="169" spans="33:34" ht="12">
      <c r="AG169" s="9"/>
      <c r="AH169" s="6"/>
    </row>
    <row r="170" spans="33:36" ht="12">
      <c r="AG170" s="9"/>
      <c r="AH170" s="6"/>
      <c r="AJ170" s="8"/>
    </row>
    <row r="171" spans="1:36" ht="12">
      <c r="A171" s="2" t="s">
        <v>384</v>
      </c>
      <c r="I171" s="2" t="s">
        <v>385</v>
      </c>
      <c r="AG171" s="9"/>
      <c r="AJ171" s="8"/>
    </row>
    <row r="172" spans="1:36" ht="12">
      <c r="A172" s="2" t="s">
        <v>387</v>
      </c>
      <c r="I172" s="2" t="s">
        <v>385</v>
      </c>
      <c r="AI172" s="9"/>
      <c r="AJ172" s="8"/>
    </row>
    <row r="173" spans="1:34" ht="12">
      <c r="A173" s="2" t="s">
        <v>388</v>
      </c>
      <c r="I173" s="2" t="s">
        <v>385</v>
      </c>
      <c r="AH173" s="6"/>
    </row>
    <row r="174" spans="2:36" ht="12">
      <c r="B174" s="7" t="s">
        <v>390</v>
      </c>
      <c r="C174" s="7" t="s">
        <v>391</v>
      </c>
      <c r="D174" s="7" t="s">
        <v>87</v>
      </c>
      <c r="E174" s="7" t="s">
        <v>89</v>
      </c>
      <c r="F174" s="7" t="s">
        <v>91</v>
      </c>
      <c r="G174" s="7" t="s">
        <v>93</v>
      </c>
      <c r="H174" s="7" t="s">
        <v>95</v>
      </c>
      <c r="I174" s="2" t="s">
        <v>385</v>
      </c>
      <c r="AG174" s="9"/>
      <c r="AH174" s="6"/>
      <c r="AJ174" s="8"/>
    </row>
    <row r="175" spans="1:36" ht="12">
      <c r="A175" s="7" t="s">
        <v>390</v>
      </c>
      <c r="B175" s="25" t="s">
        <v>394</v>
      </c>
      <c r="C175" s="25" t="s">
        <v>394</v>
      </c>
      <c r="D175" s="15">
        <f>$D$20</f>
        <v>0.002677714285714286</v>
      </c>
      <c r="E175" s="13">
        <f>$D$21</f>
        <v>0.0003042285714285715</v>
      </c>
      <c r="F175" s="13">
        <f>$D$22</f>
        <v>5.873714285714286E-05</v>
      </c>
      <c r="G175" s="13">
        <f>$D$23</f>
        <v>5.828571428571429E-05</v>
      </c>
      <c r="H175" s="21">
        <f>$D$24</f>
        <v>5.200000000000001E-07</v>
      </c>
      <c r="I175" s="2" t="s">
        <v>385</v>
      </c>
      <c r="AG175" s="8"/>
      <c r="AH175" s="6"/>
      <c r="AI175" s="9"/>
      <c r="AJ175" s="8"/>
    </row>
    <row r="176" spans="1:34" ht="12">
      <c r="A176" s="7" t="s">
        <v>391</v>
      </c>
      <c r="B176" s="25" t="s">
        <v>394</v>
      </c>
      <c r="C176" s="25" t="s">
        <v>394</v>
      </c>
      <c r="D176" s="15">
        <f>C144</f>
        <v>0.002652621518424258</v>
      </c>
      <c r="E176" s="13">
        <f>C145</f>
        <v>0.0002921350740257718</v>
      </c>
      <c r="F176" s="13">
        <f>C146</f>
        <v>5.8334626255333406E-05</v>
      </c>
      <c r="G176" s="13">
        <f>C147</f>
        <v>5.8119873523427484E-05</v>
      </c>
      <c r="H176" s="21">
        <f>C148</f>
        <v>4.888087507867127E-07</v>
      </c>
      <c r="I176" s="2" t="s">
        <v>385</v>
      </c>
      <c r="AG176" s="8"/>
      <c r="AH176" s="6"/>
    </row>
    <row r="177" spans="1:36" ht="12">
      <c r="A177" s="7" t="s">
        <v>97</v>
      </c>
      <c r="B177" s="13">
        <f>$D$25</f>
        <v>0.0031177142857142857</v>
      </c>
      <c r="C177" s="13">
        <f>$C$149</f>
        <v>0.0031177142857142857</v>
      </c>
      <c r="D177">
        <f aca="true" t="shared" si="16" ref="D177:D185">K71</f>
        <v>0</v>
      </c>
      <c r="E177" s="23">
        <f aca="true" t="shared" si="17" ref="E177:E185">K80</f>
        <v>6.833926152485967E-07</v>
      </c>
      <c r="F177" s="23">
        <f aca="true" t="shared" si="18" ref="F177:F185">K89</f>
        <v>1.3621195257385753E-07</v>
      </c>
      <c r="G177" s="12">
        <f aca="true" t="shared" si="19" ref="G177:G185">K98</f>
        <v>0</v>
      </c>
      <c r="H177" s="21">
        <f aca="true" t="shared" si="20" ref="H177:H185">K107</f>
        <v>1.1421911165541622E-09</v>
      </c>
      <c r="I177" s="2" t="s">
        <v>385</v>
      </c>
      <c r="AG177" s="8"/>
      <c r="AH177" s="6"/>
      <c r="AJ177" s="8"/>
    </row>
    <row r="178" spans="1:36" ht="12">
      <c r="A178" s="7" t="s">
        <v>99</v>
      </c>
      <c r="B178" s="11">
        <f>$D$26</f>
        <v>4.794285714285715E-06</v>
      </c>
      <c r="C178" s="11">
        <f>$C$150</f>
        <v>4.794285714285715E-06</v>
      </c>
      <c r="D178">
        <f t="shared" si="16"/>
        <v>0</v>
      </c>
      <c r="E178" s="26">
        <f t="shared" si="17"/>
        <v>1.0515791835628922E-09</v>
      </c>
      <c r="F178">
        <f t="shared" si="18"/>
        <v>2.0959789538700114E-10</v>
      </c>
      <c r="G178" s="12">
        <f t="shared" si="19"/>
        <v>0</v>
      </c>
      <c r="H178" s="21">
        <f t="shared" si="20"/>
        <v>1.7575612832484148E-12</v>
      </c>
      <c r="I178" s="2" t="s">
        <v>385</v>
      </c>
      <c r="AG178" s="8"/>
      <c r="AJ178" s="8"/>
    </row>
    <row r="179" spans="1:36" ht="12">
      <c r="A179" s="7" t="s">
        <v>101</v>
      </c>
      <c r="B179" s="6">
        <f>($G$135*HSW)^-1</f>
        <v>1.2077970157764177E-06</v>
      </c>
      <c r="C179" s="6">
        <f>$C$151</f>
        <v>1.1639249504839187E-06</v>
      </c>
      <c r="D179">
        <f t="shared" si="16"/>
        <v>1.6772824899454093E-09</v>
      </c>
      <c r="E179">
        <f t="shared" si="17"/>
        <v>4.14154972233981E-08</v>
      </c>
      <c r="F179">
        <f t="shared" si="18"/>
        <v>7.189651122350402E-10</v>
      </c>
      <c r="G179" s="6">
        <f t="shared" si="19"/>
        <v>5.813153942586635E-11</v>
      </c>
      <c r="H179" s="21">
        <f t="shared" si="20"/>
        <v>2.1889274945444714E-12</v>
      </c>
      <c r="I179" s="2" t="s">
        <v>385</v>
      </c>
      <c r="AI179" s="9"/>
      <c r="AJ179" s="8"/>
    </row>
    <row r="180" spans="1:36" ht="12">
      <c r="A180" s="7" t="s">
        <v>103</v>
      </c>
      <c r="B180">
        <f>($D$27*HSW)/($G$136^-1+HSW)</f>
        <v>1.2049179350955978E-10</v>
      </c>
      <c r="C180" s="6">
        <f>$C$152</f>
        <v>1.203541108193003E-10</v>
      </c>
      <c r="D180">
        <f t="shared" si="16"/>
        <v>5.4788684754959484E-14</v>
      </c>
      <c r="E180">
        <f t="shared" si="17"/>
        <v>6.625940651092032E-14</v>
      </c>
      <c r="F180">
        <f t="shared" si="18"/>
        <v>1.0490410395801739E-14</v>
      </c>
      <c r="G180" s="6">
        <f t="shared" si="19"/>
        <v>6.004771499916471E-15</v>
      </c>
      <c r="H180" s="21">
        <f t="shared" si="20"/>
        <v>1.394170978758433E-16</v>
      </c>
      <c r="I180" s="2" t="s">
        <v>385</v>
      </c>
      <c r="AH180" s="6"/>
      <c r="AJ180" s="8"/>
    </row>
    <row r="181" spans="1:36" ht="12">
      <c r="A181" s="7" t="s">
        <v>105</v>
      </c>
      <c r="B181" s="11">
        <f>$D$27*$G$136^-1/($G$136^-1+HSW)</f>
        <v>0.0001613713080796351</v>
      </c>
      <c r="C181" s="23">
        <f>$C$153</f>
        <v>0.00015373892714098074</v>
      </c>
      <c r="D181" s="13">
        <f t="shared" si="16"/>
        <v>2.0537926528689916E-06</v>
      </c>
      <c r="E181" s="23">
        <f t="shared" si="17"/>
        <v>4.488351438072404E-06</v>
      </c>
      <c r="F181" s="23">
        <f t="shared" si="18"/>
        <v>1.0271450838687359E-06</v>
      </c>
      <c r="G181" s="6">
        <f t="shared" si="19"/>
        <v>4.812405414222306E-08</v>
      </c>
      <c r="H181" s="21">
        <f t="shared" si="20"/>
        <v>1.496770970199513E-08</v>
      </c>
      <c r="I181" s="2" t="s">
        <v>385</v>
      </c>
      <c r="AG181" s="9"/>
      <c r="AH181" s="6"/>
      <c r="AI181" s="9"/>
      <c r="AJ181" s="8"/>
    </row>
    <row r="182" spans="1:33" ht="12">
      <c r="A182" s="7" t="s">
        <v>107</v>
      </c>
      <c r="B182" s="23">
        <f>C-ALK*0.001/(1+2/($G$132*HSW))</f>
        <v>0.002317279635876227</v>
      </c>
      <c r="C182" s="23">
        <f>$C$154</f>
        <v>0.002307006363015935</v>
      </c>
      <c r="D182" s="6">
        <f t="shared" si="16"/>
        <v>2.9524797599997984E-06</v>
      </c>
      <c r="E182" s="23">
        <f t="shared" si="17"/>
        <v>5.925753690714469E-06</v>
      </c>
      <c r="F182" s="23">
        <f t="shared" si="18"/>
        <v>1.2655768809039612E-06</v>
      </c>
      <c r="G182" s="6">
        <f t="shared" si="19"/>
        <v>1.1481338992988616E-07</v>
      </c>
      <c r="H182" s="21">
        <f t="shared" si="20"/>
        <v>1.464913874376951E-08</v>
      </c>
      <c r="I182" s="2" t="s">
        <v>385</v>
      </c>
      <c r="AG182" s="9"/>
    </row>
    <row r="183" spans="1:36" ht="12">
      <c r="A183" s="7" t="s">
        <v>109</v>
      </c>
      <c r="B183" s="6">
        <f>C-ALK*0.001/(2+$G$132*HSW)</f>
        <v>1.5688088771592344E-05</v>
      </c>
      <c r="C183" s="6">
        <f>$C$155</f>
        <v>1.3313658736253556E-05</v>
      </c>
      <c r="D183" s="6">
        <f t="shared" si="16"/>
        <v>1.3276665940563047E-07</v>
      </c>
      <c r="E183" s="23">
        <f t="shared" si="17"/>
        <v>1.6316210021090258E-06</v>
      </c>
      <c r="F183">
        <f t="shared" si="18"/>
        <v>6.055698213412052E-07</v>
      </c>
      <c r="G183" s="6">
        <f t="shared" si="19"/>
        <v>2.9033182146934203E-09</v>
      </c>
      <c r="H183" s="21">
        <f t="shared" si="20"/>
        <v>1.5692342682349533E-09</v>
      </c>
      <c r="I183" s="2" t="s">
        <v>385</v>
      </c>
      <c r="AJ183" s="8"/>
    </row>
    <row r="184" spans="1:36" ht="12">
      <c r="A184" s="7" t="s">
        <v>111</v>
      </c>
      <c r="B184" s="6">
        <f>$D$29/(1+$G$133*HSW)</f>
        <v>1.3638956481238856E-07</v>
      </c>
      <c r="C184" s="6">
        <f>$C$157</f>
        <v>1.349608831539169E-07</v>
      </c>
      <c r="D184">
        <f t="shared" si="16"/>
        <v>3.0821522851238184E-10</v>
      </c>
      <c r="E184">
        <f t="shared" si="17"/>
        <v>8.154752027812313E-10</v>
      </c>
      <c r="F184">
        <f t="shared" si="18"/>
        <v>2.957710727006316E-10</v>
      </c>
      <c r="G184" s="6">
        <f t="shared" si="19"/>
        <v>6.739997006717966E-12</v>
      </c>
      <c r="H184" s="21">
        <f t="shared" si="20"/>
        <v>2.4801574706828926E-12</v>
      </c>
      <c r="I184" s="2" t="s">
        <v>385</v>
      </c>
      <c r="AG184" s="9"/>
      <c r="AH184" s="6"/>
      <c r="AJ184" s="8"/>
    </row>
    <row r="185" spans="1:36" ht="12">
      <c r="A185" s="7" t="s">
        <v>114</v>
      </c>
      <c r="B185" s="11">
        <f>$D$30/(1+HSW*$G$134)</f>
        <v>3.885662998953883E-07</v>
      </c>
      <c r="C185" s="6">
        <f>$C$158</f>
        <v>3.8234351660136625E-07</v>
      </c>
      <c r="D185">
        <f t="shared" si="16"/>
        <v>4.797018356109881E-10</v>
      </c>
      <c r="E185" s="6">
        <f t="shared" si="17"/>
        <v>5.540233218260245E-09</v>
      </c>
      <c r="F185">
        <f t="shared" si="18"/>
        <v>1.8326223717847206E-10</v>
      </c>
      <c r="G185" s="6">
        <f t="shared" si="19"/>
        <v>1.9088728066845404E-11</v>
      </c>
      <c r="H185" s="21">
        <f t="shared" si="20"/>
        <v>4.972749054730945E-13</v>
      </c>
      <c r="I185" s="2" t="s">
        <v>385</v>
      </c>
      <c r="AG185" s="9"/>
      <c r="AI185" s="9"/>
      <c r="AJ185" s="8"/>
    </row>
    <row r="186" spans="1:9" ht="12">
      <c r="A186" s="7" t="s">
        <v>367</v>
      </c>
      <c r="B186" s="6">
        <f>$C$213*$G$131*10^-PHSW</f>
        <v>4.576314515318274E-05</v>
      </c>
      <c r="C186" s="6">
        <f>$C$156</f>
        <v>4.576314515318274E-05</v>
      </c>
      <c r="G186" s="21"/>
      <c r="H186" s="21"/>
      <c r="I186" s="2" t="s">
        <v>385</v>
      </c>
    </row>
    <row r="187" spans="1:36" ht="12">
      <c r="A187" s="7" t="s">
        <v>129</v>
      </c>
      <c r="B187">
        <f>$D$30*HSW/(($G$134)^-1+HSW)</f>
        <v>5.128676040272678E-12</v>
      </c>
      <c r="C187">
        <f>$C$159</f>
        <v>5.128676040272678E-12</v>
      </c>
      <c r="G187" s="21"/>
      <c r="H187" s="21"/>
      <c r="I187" s="2" t="s">
        <v>385</v>
      </c>
      <c r="AG187" s="9"/>
      <c r="AH187" s="6"/>
      <c r="AJ187" s="8"/>
    </row>
    <row r="188" spans="1:36" ht="12">
      <c r="A188" s="7" t="s">
        <v>127</v>
      </c>
      <c r="B188" s="6">
        <f>$D$29-$B$184</f>
        <v>1.9778961494733263E-06</v>
      </c>
      <c r="G188" s="21"/>
      <c r="H188" s="21"/>
      <c r="I188" s="2" t="s">
        <v>385</v>
      </c>
      <c r="AG188" s="9"/>
      <c r="AH188" s="6"/>
      <c r="AJ188" s="8"/>
    </row>
    <row r="189" spans="1:36" ht="12">
      <c r="A189" s="31" t="s">
        <v>409</v>
      </c>
      <c r="D189" s="2" t="s">
        <v>410</v>
      </c>
      <c r="E189" s="23">
        <f>$M$117+$E$161</f>
        <v>0.005111126344776957</v>
      </c>
      <c r="G189" s="21"/>
      <c r="H189" s="21"/>
      <c r="I189" s="2" t="s">
        <v>385</v>
      </c>
      <c r="AG189" s="9"/>
      <c r="AJ189" s="8"/>
    </row>
    <row r="190" spans="1:36" ht="12">
      <c r="A190" s="2" t="s">
        <v>411</v>
      </c>
      <c r="B190" s="23">
        <f>CO3SW+HCO3SW+$B$186</f>
        <v>0.002378730869801002</v>
      </c>
      <c r="D190" s="2" t="s">
        <v>412</v>
      </c>
      <c r="E190" s="23">
        <f>(D175+4*E175+4*F175+G175+4*H175+B177+B178+B179+B180+4*B181+HCO3SW+4*CO3SW+B184+B185)/2</f>
        <v>0.005169850762612421</v>
      </c>
      <c r="G190" s="21"/>
      <c r="H190" s="21"/>
      <c r="I190" s="2" t="s">
        <v>385</v>
      </c>
      <c r="AJ190" s="8"/>
    </row>
    <row r="191" spans="1:36" ht="12">
      <c r="A191" s="2" t="s">
        <v>414</v>
      </c>
      <c r="B191" s="29">
        <v>8</v>
      </c>
      <c r="D191" s="3" t="s">
        <v>415</v>
      </c>
      <c r="E191" s="13">
        <f>PHSW+LOG10($B$143)</f>
        <v>8.005421651808948</v>
      </c>
      <c r="I191" s="2" t="s">
        <v>385</v>
      </c>
      <c r="AG191" s="9"/>
      <c r="AH191" s="6"/>
      <c r="AI191" s="9"/>
      <c r="AJ191" s="8"/>
    </row>
    <row r="192" spans="1:33" ht="12">
      <c r="A192" s="7" t="s">
        <v>11</v>
      </c>
      <c r="B192" s="29">
        <v>0.2</v>
      </c>
      <c r="D192" s="3" t="s">
        <v>417</v>
      </c>
      <c r="E192" s="13">
        <f>PHSW+LOG10($B$143)-LOG10($F$40)</f>
        <v>8.036875077237934</v>
      </c>
      <c r="I192" s="1" t="s">
        <v>385</v>
      </c>
      <c r="AG192" s="9"/>
    </row>
    <row r="193" spans="1:36" ht="12">
      <c r="A193" s="2" t="s">
        <v>418</v>
      </c>
      <c r="B193" s="29">
        <v>298.15</v>
      </c>
      <c r="D193" s="2" t="s">
        <v>419</v>
      </c>
      <c r="E193" s="30">
        <v>2.35</v>
      </c>
      <c r="F193" s="2" t="s">
        <v>420</v>
      </c>
      <c r="I193" s="2" t="s">
        <v>385</v>
      </c>
      <c r="AJ193" s="8"/>
    </row>
    <row r="194" spans="1:36" ht="12">
      <c r="A194" s="2" t="s">
        <v>422</v>
      </c>
      <c r="B194" s="15">
        <f>(HCO3SW+2*CO3SW+$B$184+$B$179-HSW)*1000</f>
        <v>2.34999</v>
      </c>
      <c r="D194" s="2" t="s">
        <v>423</v>
      </c>
      <c r="E194" s="11">
        <f>H2CO3/K'H</f>
        <v>0.0013386388098042272</v>
      </c>
      <c r="F194" s="2" t="s">
        <v>424</v>
      </c>
      <c r="AG194" s="9"/>
      <c r="AH194" s="6"/>
      <c r="AJ194" s="8"/>
    </row>
    <row r="195" spans="1:36" ht="12">
      <c r="A195" s="2" t="s">
        <v>426</v>
      </c>
      <c r="AG195" s="9"/>
      <c r="AH195" s="6"/>
      <c r="AJ195" s="8"/>
    </row>
    <row r="196" spans="33:36" ht="12">
      <c r="AG196" s="9"/>
      <c r="AH196" s="6"/>
      <c r="AI196" s="9"/>
      <c r="AJ196" s="8"/>
    </row>
    <row r="197" spans="1:34" ht="12">
      <c r="A197" s="2" t="s">
        <v>428</v>
      </c>
      <c r="AG197" s="9"/>
      <c r="AH197" s="6"/>
    </row>
    <row r="198" spans="1:36" ht="12">
      <c r="A198" s="2" t="s">
        <v>430</v>
      </c>
      <c r="AG198" s="9"/>
      <c r="AJ198" s="8"/>
    </row>
    <row r="199" spans="1:36" ht="12">
      <c r="A199" s="2" t="s">
        <v>432</v>
      </c>
      <c r="AJ199" s="8"/>
    </row>
    <row r="200" spans="1:36" ht="12">
      <c r="A200" s="2" t="s">
        <v>433</v>
      </c>
      <c r="AG200" s="9"/>
      <c r="AH200" s="6"/>
      <c r="AJ200" s="8"/>
    </row>
    <row r="201" spans="1:36" ht="12">
      <c r="A201" s="2" t="s">
        <v>435</v>
      </c>
      <c r="B201" s="2" t="s">
        <v>436</v>
      </c>
      <c r="D201" s="2" t="s">
        <v>437</v>
      </c>
      <c r="F201" s="2" t="s">
        <v>438</v>
      </c>
      <c r="AG201" s="9"/>
      <c r="AH201" s="6"/>
      <c r="AJ201" s="8"/>
    </row>
    <row r="202" spans="1:36" ht="12">
      <c r="A202" s="2" t="s">
        <v>440</v>
      </c>
      <c r="B202" s="27" t="s">
        <v>441</v>
      </c>
      <c r="C202" s="15"/>
      <c r="D202" s="15">
        <f>-LOG10(10^-PHNBS*$B$143/$F$40)</f>
        <v>8</v>
      </c>
      <c r="E202" s="15"/>
      <c r="F202" s="15">
        <f>PHFREE-LOG10($B$143)</f>
        <v>8</v>
      </c>
      <c r="AG202" s="9"/>
      <c r="AJ202" s="8"/>
    </row>
    <row r="203" spans="1:36" ht="12">
      <c r="A203" s="2" t="s">
        <v>443</v>
      </c>
      <c r="B203" s="15">
        <f>PHSW+LOG10($B$143)</f>
        <v>8.005421651808948</v>
      </c>
      <c r="C203" s="15"/>
      <c r="D203" s="15">
        <f>PHSW+LOG10($B$143)</f>
        <v>8.005421651808948</v>
      </c>
      <c r="E203" s="15"/>
      <c r="F203" s="27" t="s">
        <v>444</v>
      </c>
      <c r="AH203" s="12"/>
      <c r="AI203" s="9"/>
      <c r="AJ203" s="8"/>
    </row>
    <row r="204" spans="1:34" ht="12">
      <c r="A204" s="2" t="s">
        <v>446</v>
      </c>
      <c r="B204" s="15">
        <f>PHSW+LOG10($B$143)-LOG10($F$40)</f>
        <v>8.036875077237934</v>
      </c>
      <c r="C204" s="15"/>
      <c r="D204" s="27" t="s">
        <v>447</v>
      </c>
      <c r="E204" s="15"/>
      <c r="F204" s="15">
        <f>PHSW+LOG10($B$143)-LOG10($F$40)</f>
        <v>8.036875077237934</v>
      </c>
      <c r="AH204" s="6"/>
    </row>
    <row r="205" spans="33:36" ht="12">
      <c r="AG205" s="9"/>
      <c r="AH205" s="6"/>
      <c r="AJ205" s="8"/>
    </row>
    <row r="206" spans="1:36" ht="12">
      <c r="A206" s="41" t="s">
        <v>452</v>
      </c>
      <c r="AG206" s="9"/>
      <c r="AH206" s="6"/>
      <c r="AJ206" s="8"/>
    </row>
    <row r="207" spans="1:36" ht="12">
      <c r="A207" s="2" t="s">
        <v>454</v>
      </c>
      <c r="C207" s="2" t="s">
        <v>455</v>
      </c>
      <c r="E207" s="2" t="s">
        <v>456</v>
      </c>
      <c r="AG207" s="9"/>
      <c r="AH207" s="6"/>
      <c r="AJ207" s="8"/>
    </row>
    <row r="208" spans="1:36" ht="12">
      <c r="A208">
        <f>CO3SW+HCO3SW+$B$186</f>
        <v>0.002378730869801002</v>
      </c>
      <c r="C208" s="13">
        <f>(ALK*0.001-$B$184-$B$179)*1000</f>
        <v>2.3486558134194113</v>
      </c>
      <c r="E208" s="13">
        <f>(HCO3SW+2*CO3SW+$B$184+$B$179-HSW)*1000</f>
        <v>2.34999</v>
      </c>
      <c r="AG208" s="9"/>
      <c r="AJ208" s="8"/>
    </row>
    <row r="209" spans="1:36" ht="12">
      <c r="A209" s="2" t="s">
        <v>459</v>
      </c>
      <c r="AJ209" s="8"/>
    </row>
    <row r="210" spans="1:36" ht="12">
      <c r="A210" s="2" t="s">
        <v>460</v>
      </c>
      <c r="AG210" s="9"/>
      <c r="AH210" s="6"/>
      <c r="AJ210" s="8"/>
    </row>
    <row r="211" spans="1:36" ht="12">
      <c r="A211" s="40" t="s">
        <v>649</v>
      </c>
      <c r="E211" s="39" t="s">
        <v>648</v>
      </c>
      <c r="AG211" s="9"/>
      <c r="AH211" s="6"/>
      <c r="AJ211" s="8"/>
    </row>
    <row r="212" spans="2:36" ht="12">
      <c r="B212" s="2" t="s">
        <v>464</v>
      </c>
      <c r="C212" s="14" t="s">
        <v>465</v>
      </c>
      <c r="E212" s="2" t="s">
        <v>466</v>
      </c>
      <c r="F212" s="2" t="s">
        <v>467</v>
      </c>
      <c r="AG212" s="9"/>
      <c r="AH212" s="6"/>
      <c r="AJ212" s="8"/>
    </row>
    <row r="213" spans="1:36" ht="12">
      <c r="A213" s="2" t="s">
        <v>469</v>
      </c>
      <c r="B213" s="21">
        <f>CT/(1+HSW*$G$131+1/($G$132*HSW))</f>
        <v>0.002317279635876227</v>
      </c>
      <c r="C213" s="21">
        <f>C-ALK*0.001/(1+2/($G$132*HSW))</f>
        <v>0.002317279635876227</v>
      </c>
      <c r="E213" s="2" t="s">
        <v>470</v>
      </c>
      <c r="F213" s="2" t="s">
        <v>471</v>
      </c>
      <c r="AG213" s="9"/>
      <c r="AJ213" s="8"/>
    </row>
    <row r="214" spans="1:36" ht="12">
      <c r="A214" s="2" t="s">
        <v>474</v>
      </c>
      <c r="B214" s="21">
        <f>CT/((HSW)^2*$G$131*$G$132+HSW*$G$132+1)</f>
        <v>1.5688088771592348E-05</v>
      </c>
      <c r="C214" s="21">
        <f>C-ALK*0.001/(2+$G$132*HSW)</f>
        <v>1.5688088771592344E-05</v>
      </c>
      <c r="E214" s="2" t="s">
        <v>475</v>
      </c>
      <c r="F214" s="2" t="s">
        <v>476</v>
      </c>
      <c r="AI214" s="9"/>
      <c r="AJ214" s="8"/>
    </row>
    <row r="215" spans="1:34" ht="12">
      <c r="A215" s="2" t="s">
        <v>367</v>
      </c>
      <c r="B215" s="21">
        <f>CT/(1+1/($G$131*HSW)+1/($G$131*$G$132*(HSW)^2))</f>
        <v>4.5763145153182736E-05</v>
      </c>
      <c r="C215" s="21">
        <f>HCO3SW*$G$131*10^-PHSW</f>
        <v>4.576314515318274E-05</v>
      </c>
      <c r="E215" s="2" t="s">
        <v>479</v>
      </c>
      <c r="F215" s="2" t="s">
        <v>480</v>
      </c>
      <c r="AH215" s="6"/>
    </row>
    <row r="216" spans="5:36" ht="12">
      <c r="E216" s="2" t="s">
        <v>482</v>
      </c>
      <c r="F216" s="2" t="s">
        <v>483</v>
      </c>
      <c r="AG216" s="9"/>
      <c r="AH216" s="6"/>
      <c r="AJ216" s="8"/>
    </row>
    <row r="217" spans="5:36" ht="12">
      <c r="E217" s="2" t="s">
        <v>485</v>
      </c>
      <c r="F217" s="2" t="s">
        <v>486</v>
      </c>
      <c r="AG217" s="9"/>
      <c r="AH217" s="6"/>
      <c r="AJ217" s="8"/>
    </row>
    <row r="218" spans="5:36" ht="12">
      <c r="E218" s="2" t="s">
        <v>488</v>
      </c>
      <c r="F218" s="2" t="s">
        <v>489</v>
      </c>
      <c r="AG218" s="9"/>
      <c r="AH218" s="6"/>
      <c r="AJ218" s="8"/>
    </row>
    <row r="219" spans="5:36" ht="12">
      <c r="E219" s="2" t="s">
        <v>491</v>
      </c>
      <c r="F219" s="2" t="s">
        <v>492</v>
      </c>
      <c r="AG219" s="9"/>
      <c r="AH219" s="6"/>
      <c r="AJ219" s="8"/>
    </row>
    <row r="220" spans="5:36" ht="12">
      <c r="E220" s="2" t="s">
        <v>494</v>
      </c>
      <c r="F220" s="2" t="s">
        <v>495</v>
      </c>
      <c r="AG220" s="9"/>
      <c r="AJ220" s="8"/>
    </row>
    <row r="221" spans="5:36" ht="12">
      <c r="E221" s="2" t="s">
        <v>497</v>
      </c>
      <c r="F221" s="2" t="s">
        <v>498</v>
      </c>
      <c r="AJ221" s="8"/>
    </row>
    <row r="222" spans="5:36" ht="12">
      <c r="E222" s="2" t="s">
        <v>64</v>
      </c>
      <c r="F222" s="2" t="s">
        <v>501</v>
      </c>
      <c r="AG222" s="9"/>
      <c r="AH222" s="6"/>
      <c r="AJ222" s="8"/>
    </row>
    <row r="223" spans="5:36" ht="12">
      <c r="E223" s="2" t="s">
        <v>504</v>
      </c>
      <c r="F223" s="2" t="s">
        <v>505</v>
      </c>
      <c r="AG223" s="9"/>
      <c r="AH223" s="6"/>
      <c r="AJ223" s="8"/>
    </row>
    <row r="224" spans="5:36" ht="12">
      <c r="E224" s="2" t="s">
        <v>367</v>
      </c>
      <c r="F224" s="2" t="s">
        <v>508</v>
      </c>
      <c r="AG224" s="9"/>
      <c r="AH224" s="6"/>
      <c r="AJ224" s="8"/>
    </row>
    <row r="225" spans="5:36" ht="12">
      <c r="E225" s="2" t="s">
        <v>511</v>
      </c>
      <c r="F225" s="2" t="s">
        <v>512</v>
      </c>
      <c r="AG225" s="9"/>
      <c r="AH225" s="6"/>
      <c r="AJ225" s="8"/>
    </row>
    <row r="226" spans="5:36" ht="12">
      <c r="E226" s="2" t="s">
        <v>129</v>
      </c>
      <c r="F226" s="2" t="s">
        <v>515</v>
      </c>
      <c r="AG226" s="9"/>
      <c r="AH226" s="6"/>
      <c r="AI226" s="9"/>
      <c r="AJ226" s="8"/>
    </row>
    <row r="227" spans="5:34" ht="12">
      <c r="E227" s="2" t="s">
        <v>518</v>
      </c>
      <c r="F227" s="2" t="s">
        <v>519</v>
      </c>
      <c r="AG227" s="9"/>
      <c r="AH227" s="6"/>
    </row>
    <row r="228" spans="5:36" ht="12">
      <c r="E228" s="2" t="s">
        <v>521</v>
      </c>
      <c r="F228" s="2" t="s">
        <v>522</v>
      </c>
      <c r="AG228" s="9"/>
      <c r="AH228" s="6"/>
      <c r="AJ228" s="8"/>
    </row>
    <row r="229" spans="5:36" ht="12">
      <c r="E229" s="2" t="s">
        <v>525</v>
      </c>
      <c r="F229" s="2" t="s">
        <v>526</v>
      </c>
      <c r="AG229" s="9"/>
      <c r="AH229" s="6"/>
      <c r="AJ229" s="8"/>
    </row>
    <row r="230" spans="5:36" ht="12">
      <c r="E230" s="22" t="s">
        <v>529</v>
      </c>
      <c r="F230" s="22" t="s">
        <v>530</v>
      </c>
      <c r="G230" s="9"/>
      <c r="AG230" s="9"/>
      <c r="AH230" s="6"/>
      <c r="AJ230" s="8"/>
    </row>
    <row r="231" spans="5:36" ht="12">
      <c r="E231" s="2" t="s">
        <v>533</v>
      </c>
      <c r="F231" s="2" t="s">
        <v>534</v>
      </c>
      <c r="AG231" s="9"/>
      <c r="AJ231" s="8"/>
    </row>
    <row r="232" spans="5:36" ht="12">
      <c r="E232" s="2" t="s">
        <v>537</v>
      </c>
      <c r="F232" s="2" t="s">
        <v>538</v>
      </c>
      <c r="AJ232" s="8"/>
    </row>
    <row r="233" spans="5:36" ht="12">
      <c r="E233" s="2" t="s">
        <v>541</v>
      </c>
      <c r="F233" s="2" t="s">
        <v>542</v>
      </c>
      <c r="AH233" s="6"/>
      <c r="AJ233" s="8"/>
    </row>
    <row r="234" spans="5:36" ht="12">
      <c r="E234" s="2" t="s">
        <v>545</v>
      </c>
      <c r="F234" s="2" t="s">
        <v>546</v>
      </c>
      <c r="AG234" s="9"/>
      <c r="AH234" s="6"/>
      <c r="AJ234" s="8"/>
    </row>
    <row r="235" spans="5:36" ht="12">
      <c r="E235" s="2" t="s">
        <v>549</v>
      </c>
      <c r="F235" s="2" t="s">
        <v>550</v>
      </c>
      <c r="AG235" s="9"/>
      <c r="AH235" s="6"/>
      <c r="AJ235" s="8"/>
    </row>
    <row r="236" spans="5:36" ht="12">
      <c r="E236" s="2" t="s">
        <v>552</v>
      </c>
      <c r="F236" s="2" t="s">
        <v>553</v>
      </c>
      <c r="AG236" s="9"/>
      <c r="AH236" s="6"/>
      <c r="AJ236" s="8"/>
    </row>
    <row r="237" spans="5:36" ht="12">
      <c r="E237" s="2" t="s">
        <v>555</v>
      </c>
      <c r="F237" s="2" t="s">
        <v>556</v>
      </c>
      <c r="AG237" s="9"/>
      <c r="AH237" s="6"/>
      <c r="AJ237" s="8"/>
    </row>
    <row r="238" spans="5:36" ht="12">
      <c r="E238" s="2" t="s">
        <v>558</v>
      </c>
      <c r="F238" s="2" t="s">
        <v>559</v>
      </c>
      <c r="AG238" s="9"/>
      <c r="AH238" s="6"/>
      <c r="AJ238" s="8"/>
    </row>
    <row r="239" spans="5:36" ht="12">
      <c r="E239" s="2" t="s">
        <v>560</v>
      </c>
      <c r="F239" s="2" t="s">
        <v>561</v>
      </c>
      <c r="AG239" s="9"/>
      <c r="AH239" s="6"/>
      <c r="AJ239" s="8"/>
    </row>
    <row r="240" spans="5:36" ht="12">
      <c r="E240" s="2" t="s">
        <v>563</v>
      </c>
      <c r="F240" s="2" t="s">
        <v>564</v>
      </c>
      <c r="AG240" s="9"/>
      <c r="AH240" s="6"/>
      <c r="AI240" s="9"/>
      <c r="AJ240" s="8"/>
    </row>
    <row r="241" spans="5:34" ht="12">
      <c r="E241" s="2" t="s">
        <v>566</v>
      </c>
      <c r="F241" s="2" t="s">
        <v>567</v>
      </c>
      <c r="AG241" s="9"/>
      <c r="AH241" s="6"/>
    </row>
    <row r="242" spans="5:36" ht="12">
      <c r="E242" s="2" t="s">
        <v>569</v>
      </c>
      <c r="F242" s="2" t="s">
        <v>570</v>
      </c>
      <c r="AG242" s="9"/>
      <c r="AH242" s="6"/>
      <c r="AJ242" s="8"/>
    </row>
    <row r="243" spans="5:36" ht="12">
      <c r="E243" s="2" t="s">
        <v>572</v>
      </c>
      <c r="F243" s="2" t="s">
        <v>573</v>
      </c>
      <c r="AG243" s="9"/>
      <c r="AJ243" s="8"/>
    </row>
    <row r="244" ht="12">
      <c r="AJ244" s="8"/>
    </row>
    <row r="245" spans="34:36" ht="12">
      <c r="AH245" s="6"/>
      <c r="AJ245" s="8"/>
    </row>
    <row r="246" spans="33:36" ht="12">
      <c r="AG246" s="9"/>
      <c r="AH246" s="6"/>
      <c r="AI246" s="9"/>
      <c r="AJ246" s="8"/>
    </row>
    <row r="247" spans="33:34" ht="12">
      <c r="AG247" s="9"/>
      <c r="AH247" s="6"/>
    </row>
    <row r="248" spans="33:36" ht="12">
      <c r="AG248" s="9"/>
      <c r="AH248" s="6"/>
      <c r="AJ248" s="8"/>
    </row>
    <row r="249" spans="33:36" ht="12">
      <c r="AG249" s="9"/>
      <c r="AH249" s="6"/>
      <c r="AJ249" s="8"/>
    </row>
    <row r="250" spans="1:36" ht="12">
      <c r="A250" s="2" t="s">
        <v>581</v>
      </c>
      <c r="AG250" s="9"/>
      <c r="AH250" s="6"/>
      <c r="AI250" s="9"/>
      <c r="AJ250" s="8"/>
    </row>
    <row r="251" spans="1:34" ht="12">
      <c r="A251" s="2" t="s">
        <v>582</v>
      </c>
      <c r="AG251" s="9"/>
      <c r="AH251" s="6"/>
    </row>
    <row r="252" spans="33:36" ht="12">
      <c r="AG252" s="9"/>
      <c r="AH252" s="6"/>
      <c r="AJ252" s="8"/>
    </row>
    <row r="253" spans="33:36" ht="12">
      <c r="AG253" s="9"/>
      <c r="AH253" s="6"/>
      <c r="AJ253" s="8"/>
    </row>
    <row r="254" spans="33:36" ht="12">
      <c r="AG254" s="9"/>
      <c r="AH254" s="6"/>
      <c r="AI254" s="9"/>
      <c r="AJ254" s="8"/>
    </row>
    <row r="255" spans="33:34" ht="12">
      <c r="AG255" s="9"/>
      <c r="AH255" s="6"/>
    </row>
    <row r="256" spans="33:36" ht="12">
      <c r="AG256" s="9"/>
      <c r="AH256" s="6"/>
      <c r="AJ256" s="8"/>
    </row>
    <row r="257" spans="33:36" ht="12">
      <c r="AG257" s="9"/>
      <c r="AJ257" s="8"/>
    </row>
    <row r="258" ht="12">
      <c r="AJ258" s="8"/>
    </row>
    <row r="259" spans="34:36" ht="12">
      <c r="AH259" s="6"/>
      <c r="AJ259" s="8"/>
    </row>
    <row r="260" spans="33:36" ht="12">
      <c r="AG260" s="9"/>
      <c r="AH260" s="6"/>
      <c r="AJ260" s="8"/>
    </row>
    <row r="261" spans="33:36" ht="12">
      <c r="AG261" s="9"/>
      <c r="AH261" s="6"/>
      <c r="AJ261" s="8"/>
    </row>
    <row r="262" spans="33:36" ht="12">
      <c r="AG262" s="9"/>
      <c r="AH262" s="6"/>
      <c r="AJ262" s="8"/>
    </row>
    <row r="263" spans="33:36" ht="12">
      <c r="AG263" s="9"/>
      <c r="AJ263" s="8"/>
    </row>
    <row r="264" ht="12">
      <c r="AJ264" s="8"/>
    </row>
    <row r="265" spans="34:36" ht="12">
      <c r="AH265" s="6"/>
      <c r="AJ265" s="8"/>
    </row>
    <row r="266" spans="33:36" ht="12">
      <c r="AG266" s="9"/>
      <c r="AH266" s="6"/>
      <c r="AJ266" s="8"/>
    </row>
    <row r="267" spans="33:36" ht="12">
      <c r="AG267" s="9"/>
      <c r="AJ267" s="8"/>
    </row>
    <row r="268" ht="12">
      <c r="AJ268" s="8"/>
    </row>
    <row r="269" spans="34:36" ht="12">
      <c r="AH269" s="6"/>
      <c r="AJ269" s="8"/>
    </row>
    <row r="270" spans="33:36" ht="12">
      <c r="AG270" s="9"/>
      <c r="AH270" s="6"/>
      <c r="AI270" s="9"/>
      <c r="AJ270" s="8"/>
    </row>
    <row r="271" ht="12">
      <c r="AG271" s="9"/>
    </row>
    <row r="273" spans="34:36" ht="12">
      <c r="AH273" s="6"/>
      <c r="AJ273" s="8"/>
    </row>
    <row r="274" spans="33:36" ht="12">
      <c r="AG274" s="9"/>
      <c r="AH274" s="6"/>
      <c r="AJ274" s="8"/>
    </row>
    <row r="275" spans="33:36" ht="12">
      <c r="AG275" s="9"/>
      <c r="AH275" s="6"/>
      <c r="AJ275" s="8"/>
    </row>
    <row r="276" spans="33:36" ht="12">
      <c r="AG276" s="9"/>
      <c r="AH276" s="6"/>
      <c r="AJ276" s="8"/>
    </row>
    <row r="277" spans="33:36" ht="12">
      <c r="AG277" s="9"/>
      <c r="AH277" s="6"/>
      <c r="AJ277" s="8"/>
    </row>
    <row r="278" spans="33:36" ht="12">
      <c r="AG278" s="9"/>
      <c r="AH278" s="6"/>
      <c r="AJ278" s="8"/>
    </row>
    <row r="279" spans="33:36" ht="12">
      <c r="AG279" s="9"/>
      <c r="AH279" s="6"/>
      <c r="AJ279" s="8"/>
    </row>
    <row r="280" spans="33:36" ht="12">
      <c r="AG280" s="9"/>
      <c r="AH280" s="6"/>
      <c r="AJ280" s="8"/>
    </row>
    <row r="281" spans="33:36" ht="12">
      <c r="AG281" s="9"/>
      <c r="AH281" s="6"/>
      <c r="AJ281" s="8"/>
    </row>
    <row r="282" spans="33:36" ht="12">
      <c r="AG282" s="9"/>
      <c r="AH282" s="6"/>
      <c r="AJ282" s="8"/>
    </row>
    <row r="283" spans="33:36" ht="12">
      <c r="AG283" s="9"/>
      <c r="AH283" s="6"/>
      <c r="AJ283" s="8"/>
    </row>
    <row r="284" spans="33:36" ht="12">
      <c r="AG284" s="9"/>
      <c r="AH284" s="6"/>
      <c r="AJ284" s="8"/>
    </row>
    <row r="285" spans="33:36" ht="12">
      <c r="AG285" s="9"/>
      <c r="AH285" s="6"/>
      <c r="AJ285" s="8"/>
    </row>
    <row r="286" spans="33:36" ht="12">
      <c r="AG286" s="9"/>
      <c r="AH286" s="6"/>
      <c r="AJ286" s="8"/>
    </row>
    <row r="287" spans="33:36" ht="12">
      <c r="AG287" s="9"/>
      <c r="AJ287" s="8"/>
    </row>
    <row r="288" ht="12">
      <c r="AJ288" s="8"/>
    </row>
    <row r="289" ht="12">
      <c r="AJ289" s="8"/>
    </row>
    <row r="290" spans="34:36" ht="12">
      <c r="AH290" s="6"/>
      <c r="AI290" s="9"/>
      <c r="AJ290" s="8"/>
    </row>
    <row r="291" spans="33:34" ht="12">
      <c r="AG291" s="9"/>
      <c r="AH291" s="6"/>
    </row>
    <row r="292" spans="33:34" ht="12">
      <c r="AG292" s="9"/>
      <c r="AH292" s="6"/>
    </row>
    <row r="293" spans="33:34" ht="12">
      <c r="AG293" s="9"/>
      <c r="AH293" s="6"/>
    </row>
    <row r="294" spans="33:34" ht="12">
      <c r="AG294" s="9"/>
      <c r="AH294" s="6"/>
    </row>
    <row r="295" spans="33:34" ht="12">
      <c r="AG295" s="9"/>
      <c r="AH295" s="6"/>
    </row>
    <row r="296" spans="33:34" ht="12">
      <c r="AG296" s="9"/>
      <c r="AH296" s="6"/>
    </row>
    <row r="297" spans="33:34" ht="12">
      <c r="AG297" s="9"/>
      <c r="AH297" s="6"/>
    </row>
    <row r="298" spans="33:34" ht="12">
      <c r="AG298" s="9"/>
      <c r="AH298" s="6"/>
    </row>
    <row r="299" spans="33:34" ht="12">
      <c r="AG299" s="9"/>
      <c r="AH299" s="6"/>
    </row>
    <row r="300" spans="33:34" ht="12">
      <c r="AG300" s="9"/>
      <c r="AH300" s="6"/>
    </row>
    <row r="301" spans="33:34" ht="12">
      <c r="AG301" s="9"/>
      <c r="AH301" s="6"/>
    </row>
    <row r="302" spans="33:34" ht="12">
      <c r="AG302" s="9"/>
      <c r="AH302" s="6"/>
    </row>
    <row r="303" spans="33:34" ht="12">
      <c r="AG303" s="9"/>
      <c r="AH303" s="6"/>
    </row>
    <row r="304" spans="33:34" ht="12">
      <c r="AG304" s="9"/>
      <c r="AH304" s="6"/>
    </row>
    <row r="305" spans="33:34" ht="12">
      <c r="AG305" s="9"/>
      <c r="AH305" s="6"/>
    </row>
    <row r="306" spans="33:34" ht="12">
      <c r="AG306" s="9"/>
      <c r="AH306" s="6"/>
    </row>
    <row r="307" ht="12">
      <c r="AG307" s="9"/>
    </row>
  </sheetData>
  <printOptions/>
  <pageMargins left="0.5" right="0.5" top="0.5" bottom="0.55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2"/>
  <sheetViews>
    <sheetView workbookViewId="0" topLeftCell="B94">
      <selection activeCell="K116" sqref="K116"/>
    </sheetView>
  </sheetViews>
  <sheetFormatPr defaultColWidth="9.140625" defaultRowHeight="12.75"/>
  <cols>
    <col min="1" max="1" width="11.421875" style="0" customWidth="1"/>
  </cols>
  <sheetData>
    <row r="2" spans="1:12" ht="12">
      <c r="A2" s="1" t="s">
        <v>1</v>
      </c>
      <c r="L2" s="1" t="s">
        <v>2</v>
      </c>
    </row>
    <row r="3" spans="1:12" ht="12">
      <c r="A3" s="1" t="s">
        <v>4</v>
      </c>
      <c r="L3" s="1" t="s">
        <v>5</v>
      </c>
    </row>
    <row r="4" spans="1:14" ht="12">
      <c r="A4" s="1" t="s">
        <v>6</v>
      </c>
      <c r="D4">
        <f>IEFF</f>
        <v>0.005111126344776957</v>
      </c>
      <c r="H4" s="1" t="s">
        <v>7</v>
      </c>
      <c r="L4" s="1" t="s">
        <v>8</v>
      </c>
      <c r="N4" s="1" t="s">
        <v>9</v>
      </c>
    </row>
    <row r="5" spans="1:14" ht="12">
      <c r="A5" s="2" t="s">
        <v>12</v>
      </c>
      <c r="B5" s="3" t="s">
        <v>13</v>
      </c>
      <c r="C5" s="4" t="s">
        <v>14</v>
      </c>
      <c r="D5" s="4" t="s">
        <v>15</v>
      </c>
      <c r="E5" s="4" t="s">
        <v>16</v>
      </c>
      <c r="F5" s="5" t="s">
        <v>17</v>
      </c>
      <c r="G5" s="5" t="s">
        <v>18</v>
      </c>
      <c r="H5" s="1" t="s">
        <v>19</v>
      </c>
      <c r="J5" s="1" t="s">
        <v>20</v>
      </c>
      <c r="L5" s="1" t="s">
        <v>21</v>
      </c>
      <c r="N5" s="1" t="s">
        <v>22</v>
      </c>
    </row>
    <row r="6" spans="8:14" ht="12">
      <c r="H6" s="7" t="s">
        <v>25</v>
      </c>
      <c r="I6" s="7" t="s">
        <v>26</v>
      </c>
      <c r="J6" s="8"/>
      <c r="N6" s="2" t="s">
        <v>27</v>
      </c>
    </row>
    <row r="7" spans="1:10" ht="12">
      <c r="A7" s="2" t="s">
        <v>29</v>
      </c>
      <c r="H7">
        <v>1</v>
      </c>
      <c r="J7" s="8">
        <f aca="true" t="shared" si="0" ref="J7:J18">100*H7/10^$I$18</f>
        <v>12.970115598608876</v>
      </c>
    </row>
    <row r="8" spans="1:10" ht="12">
      <c r="A8" s="2" t="s">
        <v>31</v>
      </c>
      <c r="B8" s="9">
        <v>-12</v>
      </c>
      <c r="C8">
        <v>1</v>
      </c>
      <c r="D8">
        <v>0</v>
      </c>
      <c r="E8" s="9">
        <v>-0.2</v>
      </c>
      <c r="F8">
        <v>0</v>
      </c>
      <c r="G8" s="9">
        <f aca="true" t="shared" si="1" ref="G8:G18">B8+0.511*F8*IEFF^0.5/(1+C8*IEFF^0.5)+E8*IEFF+D8*IEFF^2</f>
        <v>-12.001022225268956</v>
      </c>
      <c r="H8" s="6">
        <f>10^G8/HFREE</f>
        <v>0.00010101815366593736</v>
      </c>
      <c r="I8" s="6"/>
      <c r="J8" s="8">
        <f t="shared" si="0"/>
        <v>0.0013102171306052426</v>
      </c>
    </row>
    <row r="9" spans="1:10" ht="12">
      <c r="A9" s="2" t="s">
        <v>35</v>
      </c>
      <c r="B9" s="9">
        <v>-24</v>
      </c>
      <c r="C9">
        <v>1</v>
      </c>
      <c r="D9">
        <v>0</v>
      </c>
      <c r="E9" s="9">
        <v>-0.43</v>
      </c>
      <c r="F9">
        <v>2</v>
      </c>
      <c r="G9" s="9">
        <f t="shared" si="1"/>
        <v>-23.934007859169878</v>
      </c>
      <c r="H9" s="6">
        <f>10^G9/HFREE^2</f>
        <v>1.193535784295519E-08</v>
      </c>
      <c r="I9" s="6"/>
      <c r="J9" s="8">
        <f t="shared" si="0"/>
        <v>1.5480297093389192E-07</v>
      </c>
    </row>
    <row r="10" spans="1:10" ht="12">
      <c r="A10" s="2" t="s">
        <v>40</v>
      </c>
      <c r="B10" s="9">
        <v>0.4</v>
      </c>
      <c r="C10">
        <v>0.12</v>
      </c>
      <c r="D10">
        <v>0</v>
      </c>
      <c r="E10" s="9">
        <v>0.2</v>
      </c>
      <c r="F10">
        <v>-2</v>
      </c>
      <c r="G10" s="9">
        <f t="shared" si="1"/>
        <v>0.3285787529886174</v>
      </c>
      <c r="H10" s="6">
        <f>10^G10*FFREE</f>
        <v>8.14765222461485E-07</v>
      </c>
      <c r="I10" s="6"/>
      <c r="J10" s="8">
        <f t="shared" si="0"/>
        <v>1.0567599121051738E-05</v>
      </c>
    </row>
    <row r="11" spans="1:10" ht="12">
      <c r="A11" s="2" t="s">
        <v>43</v>
      </c>
      <c r="B11" s="9">
        <v>3.27</v>
      </c>
      <c r="C11">
        <v>7.2</v>
      </c>
      <c r="D11">
        <v>0</v>
      </c>
      <c r="E11" s="9">
        <v>0.1</v>
      </c>
      <c r="F11">
        <v>-2</v>
      </c>
      <c r="G11" s="9">
        <f t="shared" si="1"/>
        <v>3.222275241175905</v>
      </c>
      <c r="H11" s="6">
        <f>10^G11*CLFREE</f>
        <v>5.201295813664873</v>
      </c>
      <c r="I11" s="6"/>
      <c r="J11" s="8">
        <f t="shared" si="0"/>
        <v>67.46140796579381</v>
      </c>
    </row>
    <row r="12" spans="1:10" ht="12">
      <c r="A12" s="2" t="s">
        <v>45</v>
      </c>
      <c r="B12" s="9">
        <v>5.23</v>
      </c>
      <c r="C12">
        <v>5.4</v>
      </c>
      <c r="D12">
        <v>0</v>
      </c>
      <c r="E12" s="9">
        <v>0.13</v>
      </c>
      <c r="F12">
        <v>-2</v>
      </c>
      <c r="G12" s="9">
        <f t="shared" si="1"/>
        <v>5.177950208029784</v>
      </c>
      <c r="H12" s="6">
        <f>10^G12*CLFREE^2</f>
        <v>1.4642756283100498</v>
      </c>
      <c r="I12" s="6"/>
      <c r="J12" s="8">
        <f t="shared" si="0"/>
        <v>18.99182416740699</v>
      </c>
    </row>
    <row r="13" spans="1:10" ht="12">
      <c r="A13" s="2" t="s">
        <v>47</v>
      </c>
      <c r="B13" s="9">
        <v>5.76</v>
      </c>
      <c r="C13">
        <v>1</v>
      </c>
      <c r="D13">
        <v>0</v>
      </c>
      <c r="E13" s="9">
        <v>0.06</v>
      </c>
      <c r="F13">
        <v>0</v>
      </c>
      <c r="G13" s="9">
        <f t="shared" si="1"/>
        <v>5.760306667580687</v>
      </c>
      <c r="H13" s="6">
        <f>10^G13*CLFREE^3</f>
        <v>0.017450810659452014</v>
      </c>
      <c r="I13" s="6"/>
      <c r="J13" s="8">
        <f t="shared" si="0"/>
        <v>0.22633903154252863</v>
      </c>
    </row>
    <row r="14" spans="1:10" ht="12">
      <c r="A14" s="2" t="s">
        <v>49</v>
      </c>
      <c r="B14" s="9">
        <v>4.4</v>
      </c>
      <c r="C14">
        <v>1</v>
      </c>
      <c r="D14">
        <v>0</v>
      </c>
      <c r="E14" s="9">
        <v>0.06</v>
      </c>
      <c r="F14">
        <v>4</v>
      </c>
      <c r="G14" s="9">
        <f t="shared" si="1"/>
        <v>4.536686517897434</v>
      </c>
      <c r="H14" s="6">
        <f>10^G14*CLFREE^4</f>
        <v>3.2511107921791304E-06</v>
      </c>
      <c r="I14" s="6"/>
      <c r="J14" s="8">
        <f t="shared" si="0"/>
        <v>4.2167282798448204E-05</v>
      </c>
    </row>
    <row r="15" spans="1:10" ht="12">
      <c r="A15" s="2" t="s">
        <v>51</v>
      </c>
      <c r="B15" s="9">
        <v>1.3</v>
      </c>
      <c r="C15">
        <v>1.44</v>
      </c>
      <c r="D15">
        <v>0</v>
      </c>
      <c r="E15" s="9">
        <v>-0.02</v>
      </c>
      <c r="F15">
        <v>-4</v>
      </c>
      <c r="G15" s="9">
        <f t="shared" si="1"/>
        <v>1.1674075356272964</v>
      </c>
      <c r="H15" s="6">
        <f>10^G15*SO4FREE</f>
        <v>0.002260431661026441</v>
      </c>
      <c r="I15" s="6"/>
      <c r="J15" s="8">
        <f t="shared" si="0"/>
        <v>0.02931805994626841</v>
      </c>
    </row>
    <row r="16" spans="1:10" ht="12">
      <c r="A16" s="2" t="s">
        <v>53</v>
      </c>
      <c r="B16" s="9">
        <v>0.57</v>
      </c>
      <c r="C16">
        <v>1</v>
      </c>
      <c r="D16">
        <v>0</v>
      </c>
      <c r="E16" s="9">
        <v>-0.19</v>
      </c>
      <c r="F16">
        <v>0</v>
      </c>
      <c r="G16" s="9">
        <f t="shared" si="1"/>
        <v>0.5690288859944923</v>
      </c>
      <c r="H16" s="6">
        <f>10^G16*SO4FREE^2</f>
        <v>8.761865416729986E-08</v>
      </c>
      <c r="I16" s="6"/>
      <c r="J16" s="8">
        <f t="shared" si="0"/>
        <v>1.1364240731444126E-06</v>
      </c>
    </row>
    <row r="17" spans="1:10" ht="12">
      <c r="A17" s="2" t="s">
        <v>55</v>
      </c>
      <c r="B17" s="9">
        <v>-1.51</v>
      </c>
      <c r="C17">
        <v>0</v>
      </c>
      <c r="D17">
        <v>0.16</v>
      </c>
      <c r="E17" s="9">
        <v>-1.17</v>
      </c>
      <c r="F17">
        <v>12</v>
      </c>
      <c r="G17" s="9">
        <f t="shared" si="1"/>
        <v>-1.0775860242865265</v>
      </c>
      <c r="H17" s="6">
        <f>10^G17*SO4FREE^3</f>
        <v>3.0392436210126393E-13</v>
      </c>
      <c r="I17" s="6"/>
      <c r="J17" s="8">
        <f t="shared" si="0"/>
        <v>3.941934109686856E-12</v>
      </c>
    </row>
    <row r="18" spans="1:10" ht="12">
      <c r="A18" s="2" t="s">
        <v>57</v>
      </c>
      <c r="B18" s="9">
        <v>3.4</v>
      </c>
      <c r="C18">
        <v>1.44</v>
      </c>
      <c r="D18">
        <v>0</v>
      </c>
      <c r="E18" s="9">
        <v>-0.02</v>
      </c>
      <c r="F18">
        <v>-4</v>
      </c>
      <c r="G18" s="9">
        <f t="shared" si="1"/>
        <v>3.2674075356272962</v>
      </c>
      <c r="H18" s="6">
        <f>10^G18*CO3FREE</f>
        <v>0.024643645696746246</v>
      </c>
      <c r="I18" s="9">
        <f>LOG10(SUM(H7:H18))</f>
        <v>0.8870561531669433</v>
      </c>
      <c r="J18" s="8">
        <f t="shared" si="0"/>
        <v>0.319630933457959</v>
      </c>
    </row>
    <row r="19" ht="12">
      <c r="A19" s="1" t="s">
        <v>59</v>
      </c>
    </row>
    <row r="20" spans="1:10" ht="12">
      <c r="A20" s="2" t="s">
        <v>61</v>
      </c>
      <c r="B20" s="9"/>
      <c r="E20" s="9"/>
      <c r="G20" s="9"/>
      <c r="H20" s="12">
        <v>1</v>
      </c>
      <c r="I20" s="9"/>
      <c r="J20" s="8">
        <f aca="true" t="shared" si="2" ref="J20:J31">100*H20/10^$I$31</f>
        <v>7.012541107180336E-08</v>
      </c>
    </row>
    <row r="21" spans="1:10" ht="12">
      <c r="A21" s="2" t="s">
        <v>63</v>
      </c>
      <c r="B21" s="9">
        <v>-4.97</v>
      </c>
      <c r="C21">
        <v>1</v>
      </c>
      <c r="D21">
        <v>0</v>
      </c>
      <c r="E21" s="9">
        <v>0.59</v>
      </c>
      <c r="F21">
        <v>-4</v>
      </c>
      <c r="G21" s="9">
        <f aca="true" t="shared" si="3" ref="G21:G31">B21+0.511*F21*IEFF^0.5/(1+C21*IEFF^0.5)+E21*IEFF+D21*IEFF^2</f>
        <v>-5.103364285773328</v>
      </c>
      <c r="H21" s="12">
        <f>10^G21/HFREE</f>
        <v>798.1001014905702</v>
      </c>
      <c r="I21" s="9"/>
      <c r="J21" s="8">
        <f t="shared" si="2"/>
        <v>5.596709769347422E-05</v>
      </c>
    </row>
    <row r="22" spans="1:10" ht="12">
      <c r="A22" s="2" t="s">
        <v>65</v>
      </c>
      <c r="B22" s="9">
        <v>-9.3</v>
      </c>
      <c r="C22">
        <v>1</v>
      </c>
      <c r="D22">
        <v>0</v>
      </c>
      <c r="E22" s="9">
        <v>0.55</v>
      </c>
      <c r="F22">
        <v>-6</v>
      </c>
      <c r="G22" s="9">
        <f t="shared" si="3"/>
        <v>-9.501758655985494</v>
      </c>
      <c r="H22" s="6">
        <f>10^G22/HFREE^2</f>
        <v>3229123.443588593</v>
      </c>
      <c r="I22" s="9"/>
      <c r="J22" s="8">
        <f t="shared" si="2"/>
        <v>0.22644360888324733</v>
      </c>
    </row>
    <row r="23" spans="1:10" ht="12">
      <c r="A23" s="2" t="s">
        <v>67</v>
      </c>
      <c r="B23" s="9">
        <v>-15</v>
      </c>
      <c r="C23">
        <v>1</v>
      </c>
      <c r="D23">
        <v>0</v>
      </c>
      <c r="E23" s="9">
        <v>0.45</v>
      </c>
      <c r="F23">
        <v>-6</v>
      </c>
      <c r="G23" s="9">
        <f t="shared" si="3"/>
        <v>-15.20226976861997</v>
      </c>
      <c r="H23" s="6">
        <f>10^G23/HFREE^3</f>
        <v>651621172.2423358</v>
      </c>
      <c r="I23" s="9"/>
      <c r="J23" s="8">
        <f t="shared" si="2"/>
        <v>45.695202566584186</v>
      </c>
    </row>
    <row r="24" spans="1:10" ht="12">
      <c r="A24" s="2" t="s">
        <v>69</v>
      </c>
      <c r="B24" s="9">
        <v>-23</v>
      </c>
      <c r="C24">
        <v>1</v>
      </c>
      <c r="D24">
        <v>0</v>
      </c>
      <c r="E24" s="9">
        <v>0.36</v>
      </c>
      <c r="F24">
        <v>-4</v>
      </c>
      <c r="G24" s="9">
        <f t="shared" si="3"/>
        <v>-23.134539844832627</v>
      </c>
      <c r="H24" s="6">
        <f>10^G24/HFREE^4</f>
        <v>771164026.7491406</v>
      </c>
      <c r="I24" s="9"/>
      <c r="J24" s="8">
        <f t="shared" si="2"/>
        <v>54.078194379570654</v>
      </c>
    </row>
    <row r="25" spans="1:10" ht="12">
      <c r="A25" s="2" t="s">
        <v>70</v>
      </c>
      <c r="B25">
        <v>7.01</v>
      </c>
      <c r="C25">
        <v>1.71</v>
      </c>
      <c r="D25">
        <v>0</v>
      </c>
      <c r="E25">
        <v>0.2</v>
      </c>
      <c r="F25">
        <v>-6</v>
      </c>
      <c r="G25" s="9">
        <f t="shared" si="3"/>
        <v>6.81570513755442</v>
      </c>
      <c r="H25" s="8">
        <f>10^G25*FFREE</f>
        <v>2.5012601719753986</v>
      </c>
      <c r="J25" s="8">
        <f t="shared" si="2"/>
        <v>1.754018977573044E-07</v>
      </c>
    </row>
    <row r="26" spans="1:10" ht="12">
      <c r="A26" s="2" t="s">
        <v>72</v>
      </c>
      <c r="B26">
        <v>12.73</v>
      </c>
      <c r="C26">
        <v>1.33</v>
      </c>
      <c r="D26">
        <v>0</v>
      </c>
      <c r="E26">
        <v>0.5</v>
      </c>
      <c r="F26">
        <v>-10</v>
      </c>
      <c r="G26" s="9">
        <f t="shared" si="3"/>
        <v>12.398951326631346</v>
      </c>
      <c r="H26" s="8">
        <f>10^G26*FFREE^2</f>
        <v>0.36631844514726875</v>
      </c>
      <c r="J26" s="8">
        <f t="shared" si="2"/>
        <v>2.568823154913607E-08</v>
      </c>
    </row>
    <row r="27" spans="1:10" ht="12">
      <c r="A27" s="2" t="s">
        <v>73</v>
      </c>
      <c r="B27">
        <v>16.71</v>
      </c>
      <c r="C27">
        <v>1.57</v>
      </c>
      <c r="D27">
        <v>0</v>
      </c>
      <c r="E27">
        <v>0.7</v>
      </c>
      <c r="F27">
        <v>-12</v>
      </c>
      <c r="G27" s="9">
        <f t="shared" si="3"/>
        <v>16.31942835642848</v>
      </c>
      <c r="H27" s="8">
        <f>10^G27*FFREE^3</f>
        <v>0.0011662443350301899</v>
      </c>
      <c r="J27" s="8">
        <f t="shared" si="2"/>
        <v>8.178336340415403E-11</v>
      </c>
    </row>
    <row r="28" spans="1:10" ht="12">
      <c r="A28" s="2" t="s">
        <v>74</v>
      </c>
      <c r="B28">
        <v>19.67</v>
      </c>
      <c r="C28">
        <v>1.62</v>
      </c>
      <c r="D28">
        <v>0</v>
      </c>
      <c r="E28">
        <v>0.7</v>
      </c>
      <c r="F28">
        <v>-12</v>
      </c>
      <c r="G28" s="9">
        <f t="shared" si="3"/>
        <v>19.280691044677827</v>
      </c>
      <c r="H28" s="8">
        <f>10^G28*FFREE^4</f>
        <v>4.0785516425104927E-07</v>
      </c>
      <c r="J28" s="8">
        <f t="shared" si="2"/>
        <v>2.860101105086271E-14</v>
      </c>
    </row>
    <row r="29" spans="1:10" ht="12">
      <c r="A29" s="2" t="s">
        <v>76</v>
      </c>
      <c r="B29">
        <v>20.73</v>
      </c>
      <c r="C29">
        <v>1.62</v>
      </c>
      <c r="D29">
        <v>0</v>
      </c>
      <c r="E29">
        <v>0.7</v>
      </c>
      <c r="F29">
        <v>-10</v>
      </c>
      <c r="G29" s="9">
        <f t="shared" si="3"/>
        <v>20.406172168638413</v>
      </c>
      <c r="H29" s="6">
        <f>10^G29*FFREE^5</f>
        <v>2.0818087037096353E-12</v>
      </c>
      <c r="J29" s="8">
        <f t="shared" si="2"/>
        <v>1.4598769112049629E-19</v>
      </c>
    </row>
    <row r="30" spans="1:10" ht="12">
      <c r="A30" s="2" t="s">
        <v>77</v>
      </c>
      <c r="B30">
        <v>20.46</v>
      </c>
      <c r="C30">
        <v>1.62</v>
      </c>
      <c r="D30">
        <v>0</v>
      </c>
      <c r="E30">
        <v>0.7</v>
      </c>
      <c r="F30">
        <v>-6</v>
      </c>
      <c r="G30" s="9">
        <f t="shared" si="3"/>
        <v>20.267134416559585</v>
      </c>
      <c r="H30" s="6">
        <f>10^G30*FFREE^6</f>
        <v>5.779054605794211E-19</v>
      </c>
      <c r="J30" s="8">
        <f t="shared" si="2"/>
        <v>4.052585798377176E-26</v>
      </c>
    </row>
    <row r="31" spans="1:10" ht="12">
      <c r="A31" s="2" t="s">
        <v>78</v>
      </c>
      <c r="B31" s="9">
        <v>8.43</v>
      </c>
      <c r="C31">
        <v>1.85</v>
      </c>
      <c r="D31">
        <v>0</v>
      </c>
      <c r="E31" s="9">
        <v>0.14</v>
      </c>
      <c r="F31">
        <v>-12</v>
      </c>
      <c r="G31" s="9">
        <f t="shared" si="3"/>
        <v>8.043534490861518</v>
      </c>
      <c r="H31" s="6">
        <f>10^G31*CO3FREE</f>
        <v>1471.7427717696462</v>
      </c>
      <c r="I31" s="9">
        <f>LOG10(SUM(H20:H31))</f>
        <v>9.154124579914853</v>
      </c>
      <c r="J31" s="8">
        <f t="shared" si="2"/>
        <v>0.00010320656686230171</v>
      </c>
    </row>
    <row r="32" spans="1:15" ht="12">
      <c r="A32" s="2" t="s">
        <v>59</v>
      </c>
      <c r="O32" s="9"/>
    </row>
    <row r="33" spans="1:10" ht="12">
      <c r="A33" s="2" t="s">
        <v>84</v>
      </c>
      <c r="H33">
        <v>1</v>
      </c>
      <c r="J33" s="8">
        <f aca="true" t="shared" si="4" ref="J33:J48">100*H33/10^$I$48</f>
        <v>70.81734622433342</v>
      </c>
    </row>
    <row r="34" spans="1:10" ht="12">
      <c r="A34" s="2" t="s">
        <v>86</v>
      </c>
      <c r="B34" s="9">
        <v>-10.08</v>
      </c>
      <c r="C34">
        <v>1</v>
      </c>
      <c r="D34">
        <v>0</v>
      </c>
      <c r="E34" s="9">
        <v>-0.02</v>
      </c>
      <c r="F34">
        <v>-2</v>
      </c>
      <c r="G34" s="9">
        <f aca="true" t="shared" si="5" ref="G34:G48">B34+0.511*F34*IEFF^0.5/(1+C34*IEFF^0.5)+E34*IEFF+D34*IEFF^2</f>
        <v>-10.148292147685268</v>
      </c>
      <c r="H34" s="6">
        <f>10^G34/HFREE</f>
        <v>0.007196635455524764</v>
      </c>
      <c r="J34" s="8">
        <f t="shared" si="4"/>
        <v>0.5096466247042106</v>
      </c>
    </row>
    <row r="35" spans="1:10" ht="12">
      <c r="A35" s="2" t="s">
        <v>88</v>
      </c>
      <c r="B35" s="9">
        <v>-20.35</v>
      </c>
      <c r="C35">
        <v>1</v>
      </c>
      <c r="D35">
        <v>0</v>
      </c>
      <c r="E35" s="9">
        <v>0.09</v>
      </c>
      <c r="F35">
        <v>-2</v>
      </c>
      <c r="G35" s="9">
        <f t="shared" si="5"/>
        <v>-20.417729923787345</v>
      </c>
      <c r="H35" s="6">
        <f>10^G35/HFREE^2</f>
        <v>3.918441612208036E-05</v>
      </c>
      <c r="J35" s="8">
        <f t="shared" si="4"/>
        <v>0.002774936363115717</v>
      </c>
    </row>
    <row r="36" spans="1:10" ht="12">
      <c r="A36" s="2" t="s">
        <v>90</v>
      </c>
      <c r="B36" s="9">
        <v>-33.3</v>
      </c>
      <c r="C36">
        <v>1</v>
      </c>
      <c r="D36">
        <v>0</v>
      </c>
      <c r="E36" s="9">
        <v>0</v>
      </c>
      <c r="F36">
        <v>0</v>
      </c>
      <c r="G36" s="9">
        <f t="shared" si="5"/>
        <v>-33.3</v>
      </c>
      <c r="H36" s="6">
        <f>10^G36/HFREE^3</f>
        <v>5.203133337385617E-10</v>
      </c>
      <c r="J36" s="8">
        <f t="shared" si="4"/>
        <v>3.6847209500500866E-08</v>
      </c>
    </row>
    <row r="37" spans="1:10" ht="12">
      <c r="A37" s="2" t="s">
        <v>92</v>
      </c>
      <c r="B37" s="9">
        <v>-47.35</v>
      </c>
      <c r="C37">
        <v>1</v>
      </c>
      <c r="D37">
        <v>0</v>
      </c>
      <c r="E37" s="9">
        <v>-0.53</v>
      </c>
      <c r="F37">
        <v>4</v>
      </c>
      <c r="G37" s="9">
        <f t="shared" si="5"/>
        <v>-47.21632904664598</v>
      </c>
      <c r="H37" s="6">
        <f>10^G37/HFREE^3</f>
        <v>6.308642375138978E-24</v>
      </c>
      <c r="J37" s="8">
        <f t="shared" si="4"/>
        <v>4.467613112857181E-22</v>
      </c>
    </row>
    <row r="38" spans="1:10" ht="12">
      <c r="A38" s="2" t="s">
        <v>94</v>
      </c>
      <c r="B38" s="9">
        <v>1.08</v>
      </c>
      <c r="C38">
        <v>1.57</v>
      </c>
      <c r="D38">
        <v>0</v>
      </c>
      <c r="E38" s="9">
        <v>0.17</v>
      </c>
      <c r="F38">
        <v>-4</v>
      </c>
      <c r="G38" s="9">
        <f t="shared" si="5"/>
        <v>0.9494857474743241</v>
      </c>
      <c r="H38" s="6">
        <f>10^G38*FFREE</f>
        <v>3.403607545123392E-06</v>
      </c>
      <c r="J38" s="8">
        <f t="shared" si="4"/>
        <v>0.0002410344539347568</v>
      </c>
    </row>
    <row r="39" spans="1:10" ht="12">
      <c r="A39" s="2" t="s">
        <v>96</v>
      </c>
      <c r="B39" s="9">
        <v>1.41</v>
      </c>
      <c r="C39">
        <v>1.52</v>
      </c>
      <c r="D39">
        <v>0</v>
      </c>
      <c r="E39" s="9">
        <v>0.34</v>
      </c>
      <c r="F39">
        <v>-6</v>
      </c>
      <c r="G39" s="9">
        <f t="shared" si="5"/>
        <v>1.2140276516216244</v>
      </c>
      <c r="H39" s="6">
        <f>10^G39*FFREE^2</f>
        <v>2.3929581982110803E-12</v>
      </c>
      <c r="J39" s="8">
        <f t="shared" si="4"/>
        <v>1.6946294922307114E-10</v>
      </c>
    </row>
    <row r="40" spans="1:10" ht="12">
      <c r="A40" s="2" t="s">
        <v>98</v>
      </c>
      <c r="B40" s="9">
        <v>1.97</v>
      </c>
      <c r="C40">
        <v>1.57</v>
      </c>
      <c r="D40">
        <v>0</v>
      </c>
      <c r="E40" s="9">
        <v>0.17</v>
      </c>
      <c r="F40">
        <v>-4</v>
      </c>
      <c r="G40" s="9">
        <f t="shared" si="5"/>
        <v>1.839485747474324</v>
      </c>
      <c r="H40" s="8">
        <f>10^G40*CLFREE</f>
        <v>0.21543787685180035</v>
      </c>
      <c r="J40" s="8">
        <f t="shared" si="4"/>
        <v>15.256738714849254</v>
      </c>
    </row>
    <row r="41" spans="1:10" ht="12">
      <c r="A41" s="2" t="s">
        <v>100</v>
      </c>
      <c r="B41" s="9">
        <v>2.59</v>
      </c>
      <c r="C41">
        <v>1.52</v>
      </c>
      <c r="D41">
        <v>0</v>
      </c>
      <c r="E41" s="9">
        <v>0.34</v>
      </c>
      <c r="F41">
        <v>-6</v>
      </c>
      <c r="G41" s="9">
        <f t="shared" si="5"/>
        <v>2.3940276516216246</v>
      </c>
      <c r="H41" s="8">
        <f>10^G41*CLFREE^2</f>
        <v>0.002408242838870331</v>
      </c>
      <c r="J41" s="8">
        <f t="shared" si="4"/>
        <v>0.17054536691255184</v>
      </c>
    </row>
    <row r="42" spans="1:10" ht="12">
      <c r="A42" s="2" t="s">
        <v>102</v>
      </c>
      <c r="B42" s="9">
        <v>2.4</v>
      </c>
      <c r="C42">
        <v>1.12</v>
      </c>
      <c r="D42">
        <v>0</v>
      </c>
      <c r="E42" s="9">
        <v>0.58</v>
      </c>
      <c r="F42">
        <v>-6</v>
      </c>
      <c r="G42" s="9">
        <f t="shared" si="5"/>
        <v>2.2000195852835143</v>
      </c>
      <c r="H42" s="8">
        <f>10^G42*CLFREE^3</f>
        <v>4.803176261428261E-06</v>
      </c>
      <c r="J42" s="8">
        <f t="shared" si="4"/>
        <v>0.0003401481962820646</v>
      </c>
    </row>
    <row r="43" spans="1:10" ht="12">
      <c r="A43" s="2" t="s">
        <v>104</v>
      </c>
      <c r="B43" s="9">
        <v>1.47</v>
      </c>
      <c r="C43">
        <v>3.65</v>
      </c>
      <c r="D43">
        <v>0</v>
      </c>
      <c r="E43" s="9">
        <v>0.47</v>
      </c>
      <c r="F43">
        <v>-4</v>
      </c>
      <c r="G43" s="9">
        <f t="shared" si="5"/>
        <v>1.356513126200723</v>
      </c>
      <c r="H43" s="8">
        <f>10^G43*CLFREE^4</f>
        <v>2.1471301881179317E-09</v>
      </c>
      <c r="J43" s="8">
        <f t="shared" si="4"/>
        <v>1.520540619206657E-07</v>
      </c>
    </row>
    <row r="44" spans="1:10" ht="12">
      <c r="A44" s="2" t="s">
        <v>106</v>
      </c>
      <c r="B44" s="9">
        <v>2.45</v>
      </c>
      <c r="C44">
        <v>1.63</v>
      </c>
      <c r="D44">
        <v>0</v>
      </c>
      <c r="E44" s="9">
        <v>0.05</v>
      </c>
      <c r="F44">
        <v>-8</v>
      </c>
      <c r="G44" s="9">
        <f t="shared" si="5"/>
        <v>2.1884987721034124</v>
      </c>
      <c r="H44" s="8">
        <f>10^G44*SO4FREE</f>
        <v>0.02372917384847989</v>
      </c>
      <c r="J44" s="8">
        <f t="shared" si="4"/>
        <v>1.6804371200451989</v>
      </c>
    </row>
    <row r="45" spans="1:10" ht="12">
      <c r="A45" s="2" t="s">
        <v>108</v>
      </c>
      <c r="B45" s="9">
        <v>3.44</v>
      </c>
      <c r="C45">
        <v>1.61</v>
      </c>
      <c r="D45">
        <v>0</v>
      </c>
      <c r="E45" s="9">
        <v>-0.22</v>
      </c>
      <c r="F45">
        <v>-8</v>
      </c>
      <c r="G45" s="9">
        <f t="shared" si="5"/>
        <v>3.17678312968462</v>
      </c>
      <c r="H45" s="9">
        <f>10^G45*SO4FREE^2</f>
        <v>3.551001222124226E-05</v>
      </c>
      <c r="J45" s="8">
        <f t="shared" si="4"/>
        <v>0.002514724829902024</v>
      </c>
    </row>
    <row r="46" spans="1:10" ht="12">
      <c r="A46" s="2" t="s">
        <v>110</v>
      </c>
      <c r="B46">
        <v>3.09</v>
      </c>
      <c r="C46">
        <v>0</v>
      </c>
      <c r="D46">
        <v>0.16</v>
      </c>
      <c r="E46">
        <v>-1.17</v>
      </c>
      <c r="F46">
        <v>0</v>
      </c>
      <c r="G46" s="9">
        <f t="shared" si="5"/>
        <v>3.0840241619546127</v>
      </c>
      <c r="H46" s="6">
        <f>10^G46*SO4FREE^3</f>
        <v>4.409361442244102E-09</v>
      </c>
      <c r="J46" s="8">
        <f t="shared" si="4"/>
        <v>3.122592758836267E-07</v>
      </c>
    </row>
    <row r="47" spans="1:11" ht="12">
      <c r="A47" s="2" t="s">
        <v>112</v>
      </c>
      <c r="B47" s="9">
        <v>-0.72</v>
      </c>
      <c r="C47">
        <v>1.52</v>
      </c>
      <c r="D47">
        <v>0</v>
      </c>
      <c r="E47" s="9">
        <v>-0.73</v>
      </c>
      <c r="F47">
        <v>16</v>
      </c>
      <c r="G47" s="9">
        <f t="shared" si="5"/>
        <v>-0.19650410533675447</v>
      </c>
      <c r="H47" s="6">
        <f>10^G47*SO4FREE^4</f>
        <v>3.553295114984114E-16</v>
      </c>
      <c r="I47" s="9"/>
      <c r="J47" s="8">
        <f t="shared" si="4"/>
        <v>2.5163493039506264E-14</v>
      </c>
      <c r="K47" t="s">
        <v>113</v>
      </c>
    </row>
    <row r="48" spans="1:11" ht="12">
      <c r="A48" s="2" t="s">
        <v>115</v>
      </c>
      <c r="B48" s="9">
        <v>4.35</v>
      </c>
      <c r="C48">
        <v>1.63</v>
      </c>
      <c r="D48">
        <v>0</v>
      </c>
      <c r="E48" s="9">
        <v>0.05</v>
      </c>
      <c r="F48">
        <v>-8</v>
      </c>
      <c r="G48" s="9">
        <f t="shared" si="5"/>
        <v>4.088498772103412</v>
      </c>
      <c r="H48" s="9">
        <f>10^G48*CO3FREE</f>
        <v>0.16322857633445395</v>
      </c>
      <c r="I48" s="9">
        <f>LOG10(SUM(H33:H48))</f>
        <v>0.14986035181855203</v>
      </c>
      <c r="J48" s="8">
        <f t="shared" si="4"/>
        <v>11.559414603982063</v>
      </c>
      <c r="K48" s="8">
        <f>10^I48</f>
        <v>1.4120834136204778</v>
      </c>
    </row>
    <row r="49" ht="12">
      <c r="A49" s="1" t="s">
        <v>59</v>
      </c>
    </row>
    <row r="50" spans="1:10" ht="12">
      <c r="A50" s="2" t="s">
        <v>118</v>
      </c>
      <c r="H50">
        <v>1</v>
      </c>
      <c r="J50" s="8">
        <f aca="true" t="shared" si="6" ref="J50:J58">100*H50/10^$I$58</f>
        <v>60.920713157175896</v>
      </c>
    </row>
    <row r="51" spans="1:10" ht="12">
      <c r="A51" s="2" t="s">
        <v>120</v>
      </c>
      <c r="B51">
        <v>-9.65</v>
      </c>
      <c r="C51">
        <v>2.02</v>
      </c>
      <c r="D51">
        <v>0</v>
      </c>
      <c r="E51" s="9">
        <v>-0.03</v>
      </c>
      <c r="F51">
        <v>-2</v>
      </c>
      <c r="G51" s="9">
        <f aca="true" t="shared" si="7" ref="G51:G58">B51+0.511*F51*IEFF^0.5/(1+C51*IEFF^0.5)+E51*IEFF+D51*IEFF^2</f>
        <v>-9.713998201890915</v>
      </c>
      <c r="H51" s="6">
        <f>10^G51/HFREE</f>
        <v>0.01956245923617122</v>
      </c>
      <c r="I51" s="9"/>
      <c r="J51" s="8">
        <f t="shared" si="6"/>
        <v>1.191758967775733</v>
      </c>
    </row>
    <row r="52" spans="1:10" ht="12">
      <c r="A52" s="2" t="s">
        <v>122</v>
      </c>
      <c r="B52">
        <v>-18.8</v>
      </c>
      <c r="C52">
        <v>2.01</v>
      </c>
      <c r="D52">
        <v>0</v>
      </c>
      <c r="E52" s="9">
        <v>-0.12</v>
      </c>
      <c r="F52">
        <v>-2</v>
      </c>
      <c r="G52" s="9">
        <f t="shared" si="7"/>
        <v>-18.864498112412406</v>
      </c>
      <c r="H52" s="6">
        <f>10^G52/HFREE^2</f>
        <v>0.0014007002017544102</v>
      </c>
      <c r="I52" s="9"/>
      <c r="J52" s="8">
        <f t="shared" si="6"/>
        <v>0.08533165521027883</v>
      </c>
    </row>
    <row r="53" spans="1:10" ht="12">
      <c r="A53" s="2" t="s">
        <v>124</v>
      </c>
      <c r="B53">
        <v>-31.5</v>
      </c>
      <c r="C53">
        <v>0</v>
      </c>
      <c r="D53">
        <v>-0.07</v>
      </c>
      <c r="E53" s="9">
        <v>-0.09</v>
      </c>
      <c r="F53">
        <v>0</v>
      </c>
      <c r="G53" s="9">
        <f t="shared" si="7"/>
        <v>-31.50046183002391</v>
      </c>
      <c r="H53" s="6">
        <f>10^G53/HFREE^3</f>
        <v>3.279465944933433E-08</v>
      </c>
      <c r="I53" s="9"/>
      <c r="J53" s="8">
        <f t="shared" si="6"/>
        <v>1.997874041400165E-06</v>
      </c>
    </row>
    <row r="54" spans="1:10" ht="12">
      <c r="A54" s="2" t="s">
        <v>126</v>
      </c>
      <c r="B54">
        <v>-46.3</v>
      </c>
      <c r="C54">
        <v>1</v>
      </c>
      <c r="D54">
        <v>0</v>
      </c>
      <c r="E54" s="9">
        <v>-0.34</v>
      </c>
      <c r="F54">
        <v>4</v>
      </c>
      <c r="G54" s="9">
        <f t="shared" si="7"/>
        <v>-46.16535793264047</v>
      </c>
      <c r="H54" s="6">
        <f>10^G54/HFREE^4</f>
        <v>7.183377244788348E-15</v>
      </c>
      <c r="I54" s="9"/>
      <c r="J54" s="8">
        <f t="shared" si="6"/>
        <v>4.3761646462953543E-13</v>
      </c>
    </row>
    <row r="55" spans="1:10" ht="12">
      <c r="A55" s="2" t="s">
        <v>128</v>
      </c>
      <c r="B55">
        <v>1.02</v>
      </c>
      <c r="C55">
        <v>1.57</v>
      </c>
      <c r="D55">
        <v>0</v>
      </c>
      <c r="E55" s="9">
        <v>0.17</v>
      </c>
      <c r="F55">
        <v>-4</v>
      </c>
      <c r="G55" s="9">
        <f t="shared" si="7"/>
        <v>0.8894857474743241</v>
      </c>
      <c r="H55" s="6">
        <f>10^G55*FFREE</f>
        <v>2.964418246302273E-06</v>
      </c>
      <c r="I55" s="9"/>
      <c r="J55" s="8">
        <f t="shared" si="6"/>
        <v>0.00018059447366087914</v>
      </c>
    </row>
    <row r="56" spans="1:10" ht="12">
      <c r="A56" s="2" t="s">
        <v>130</v>
      </c>
      <c r="B56">
        <v>0.57</v>
      </c>
      <c r="C56">
        <v>1.57</v>
      </c>
      <c r="D56">
        <v>0</v>
      </c>
      <c r="E56" s="9">
        <v>0.17</v>
      </c>
      <c r="F56">
        <v>-4</v>
      </c>
      <c r="G56" s="9">
        <f t="shared" si="7"/>
        <v>0.43948574747432395</v>
      </c>
      <c r="H56" s="9">
        <f>10^G56*CLFREE</f>
        <v>0.008576736358352299</v>
      </c>
      <c r="I56" s="9"/>
      <c r="J56" s="8">
        <f t="shared" si="6"/>
        <v>0.5225008955119018</v>
      </c>
    </row>
    <row r="57" spans="1:10" ht="12">
      <c r="A57" s="2" t="s">
        <v>131</v>
      </c>
      <c r="B57">
        <v>2.36</v>
      </c>
      <c r="C57">
        <v>1.63</v>
      </c>
      <c r="D57">
        <v>0</v>
      </c>
      <c r="E57" s="9">
        <v>0.05</v>
      </c>
      <c r="F57">
        <v>-8</v>
      </c>
      <c r="G57" s="9">
        <f t="shared" si="7"/>
        <v>2.098498772103412</v>
      </c>
      <c r="H57" s="9">
        <f>10^G57*SO4FREE</f>
        <v>0.019287796627407535</v>
      </c>
      <c r="J57" s="8">
        <f t="shared" si="6"/>
        <v>1.175026325772239</v>
      </c>
    </row>
    <row r="58" spans="1:10" ht="12">
      <c r="A58" s="2" t="s">
        <v>133</v>
      </c>
      <c r="B58">
        <v>4.91</v>
      </c>
      <c r="C58">
        <v>1.63</v>
      </c>
      <c r="D58">
        <v>0</v>
      </c>
      <c r="E58" s="9">
        <v>0.05</v>
      </c>
      <c r="F58">
        <v>-8</v>
      </c>
      <c r="G58" s="9">
        <f t="shared" si="7"/>
        <v>4.648498772103412</v>
      </c>
      <c r="H58" s="9">
        <f>10^G58*CO3FREE</f>
        <v>0.5926471397840665</v>
      </c>
      <c r="I58" s="9">
        <f>LOG10(SUM(H50:H58))</f>
        <v>0.21523502131739078</v>
      </c>
      <c r="J58" s="8">
        <f t="shared" si="6"/>
        <v>36.10448640620584</v>
      </c>
    </row>
    <row r="59" ht="12">
      <c r="A59" s="2" t="s">
        <v>59</v>
      </c>
    </row>
    <row r="60" spans="1:15" ht="12">
      <c r="A60" s="2" t="s">
        <v>136</v>
      </c>
      <c r="B60" s="9"/>
      <c r="E60" s="9"/>
      <c r="G60" s="9">
        <f aca="true" t="shared" si="8" ref="G60:G68">B60+0.511*F60*IEFF^0.5/(1+C60*IEFF^0.5)+E60*IEFF+D60*IEFF^2</f>
        <v>0</v>
      </c>
      <c r="H60">
        <v>1</v>
      </c>
      <c r="I60" s="9"/>
      <c r="J60" s="8">
        <f aca="true" t="shared" si="9" ref="J60:J68">100*H60/10^$I$68</f>
        <v>5.1529605052453934E-05</v>
      </c>
      <c r="O60" s="9"/>
    </row>
    <row r="61" spans="1:15" ht="12">
      <c r="A61" s="2" t="s">
        <v>138</v>
      </c>
      <c r="B61" s="9">
        <v>-4</v>
      </c>
      <c r="C61">
        <v>2.87</v>
      </c>
      <c r="D61">
        <v>0</v>
      </c>
      <c r="E61" s="9">
        <v>-0.08</v>
      </c>
      <c r="F61">
        <v>-4</v>
      </c>
      <c r="G61" s="9">
        <f t="shared" si="8"/>
        <v>-4.121660189671234</v>
      </c>
      <c r="H61" s="6">
        <f>10^G61/HFREE</f>
        <v>7651.762155837615</v>
      </c>
      <c r="I61" s="9"/>
      <c r="J61" s="8">
        <f t="shared" si="9"/>
        <v>0.3942922818456257</v>
      </c>
      <c r="O61" s="9"/>
    </row>
    <row r="62" spans="1:15" ht="12">
      <c r="A62" s="2" t="s">
        <v>140</v>
      </c>
      <c r="B62" s="9">
        <v>-9.7</v>
      </c>
      <c r="C62">
        <v>1</v>
      </c>
      <c r="D62">
        <v>0</v>
      </c>
      <c r="E62" s="9">
        <v>0.4</v>
      </c>
      <c r="F62">
        <v>-6</v>
      </c>
      <c r="G62" s="9">
        <f t="shared" si="8"/>
        <v>-9.902525324937208</v>
      </c>
      <c r="H62" s="6">
        <f>10^G62/HFREE^2</f>
        <v>1283269.814245335</v>
      </c>
      <c r="I62" s="9"/>
      <c r="J62" s="8">
        <f t="shared" si="9"/>
        <v>66.12638670379803</v>
      </c>
      <c r="O62" s="9"/>
    </row>
    <row r="63" spans="1:15" ht="12">
      <c r="A63" s="2" t="s">
        <v>146</v>
      </c>
      <c r="B63" s="9">
        <v>-18</v>
      </c>
      <c r="C63">
        <v>1</v>
      </c>
      <c r="D63">
        <v>0</v>
      </c>
      <c r="E63" s="9">
        <v>0.2</v>
      </c>
      <c r="F63">
        <v>-6</v>
      </c>
      <c r="G63" s="9">
        <f t="shared" si="8"/>
        <v>-18.203547550206167</v>
      </c>
      <c r="H63" s="6">
        <f>10^G63/HFREE^3</f>
        <v>649706.7895171226</v>
      </c>
      <c r="I63" s="9"/>
      <c r="J63" s="8">
        <f t="shared" si="9"/>
        <v>33.479134263715146</v>
      </c>
      <c r="O63" s="9"/>
    </row>
    <row r="64" spans="1:15" ht="12">
      <c r="A64" s="2" t="s">
        <v>150</v>
      </c>
      <c r="B64" s="9">
        <v>5.21</v>
      </c>
      <c r="C64">
        <v>5.88</v>
      </c>
      <c r="D64">
        <v>0</v>
      </c>
      <c r="E64" s="9">
        <v>0.16</v>
      </c>
      <c r="F64">
        <v>-6</v>
      </c>
      <c r="G64" s="9">
        <f t="shared" si="8"/>
        <v>5.056495792719342</v>
      </c>
      <c r="H64" s="6">
        <f>10^G64*FFREE</f>
        <v>0.043546125810813935</v>
      </c>
      <c r="I64" s="9"/>
      <c r="J64" s="8">
        <f t="shared" si="9"/>
        <v>2.243914664595712E-06</v>
      </c>
      <c r="O64" s="6"/>
    </row>
    <row r="65" spans="1:15" ht="12">
      <c r="A65" s="2" t="s">
        <v>152</v>
      </c>
      <c r="B65" s="9">
        <v>9.31</v>
      </c>
      <c r="C65">
        <v>1.33</v>
      </c>
      <c r="D65">
        <v>0</v>
      </c>
      <c r="E65" s="9">
        <v>0.5</v>
      </c>
      <c r="F65">
        <v>-10</v>
      </c>
      <c r="G65" s="9">
        <f t="shared" si="8"/>
        <v>8.978951326631346</v>
      </c>
      <c r="H65" s="6">
        <f>10^G65*FFREE^2</f>
        <v>0.00013927038852162632</v>
      </c>
      <c r="I65" s="9"/>
      <c r="J65" s="8">
        <f t="shared" si="9"/>
        <v>7.176548116021217E-09</v>
      </c>
      <c r="O65" s="6"/>
    </row>
    <row r="66" spans="1:15" ht="12">
      <c r="A66" s="2" t="s">
        <v>154</v>
      </c>
      <c r="B66" s="9">
        <v>11.91</v>
      </c>
      <c r="C66">
        <v>1.57</v>
      </c>
      <c r="D66">
        <v>0</v>
      </c>
      <c r="E66" s="9">
        <v>0.7</v>
      </c>
      <c r="F66">
        <v>-12</v>
      </c>
      <c r="G66" s="9">
        <f t="shared" si="8"/>
        <v>11.51942835642848</v>
      </c>
      <c r="H66" s="6">
        <f>10^G66*FFREE^3</f>
        <v>1.8483727073356724E-08</v>
      </c>
      <c r="I66" s="9"/>
      <c r="J66" s="8">
        <f t="shared" si="9"/>
        <v>9.524591559874221E-13</v>
      </c>
      <c r="O66" s="6"/>
    </row>
    <row r="67" spans="1:15" ht="12">
      <c r="A67" s="2" t="s">
        <v>156</v>
      </c>
      <c r="B67" s="9">
        <v>0.62</v>
      </c>
      <c r="C67">
        <v>1.12</v>
      </c>
      <c r="D67">
        <v>0</v>
      </c>
      <c r="E67" s="9">
        <v>0.33</v>
      </c>
      <c r="F67">
        <v>-6</v>
      </c>
      <c r="G67" s="9">
        <f t="shared" si="8"/>
        <v>0.4187418036973201</v>
      </c>
      <c r="H67" s="8">
        <f>10^G67*CLFREE</f>
        <v>0.008176700992469917</v>
      </c>
      <c r="I67" s="9"/>
      <c r="J67" s="8">
        <f t="shared" si="9"/>
        <v>4.2134217277398295E-07</v>
      </c>
      <c r="O67" s="6"/>
    </row>
    <row r="68" spans="1:15" ht="12">
      <c r="A68" s="2" t="s">
        <v>158</v>
      </c>
      <c r="B68" s="9">
        <v>4.61</v>
      </c>
      <c r="C68">
        <v>1.85</v>
      </c>
      <c r="D68">
        <v>0</v>
      </c>
      <c r="E68" s="9">
        <v>0.14</v>
      </c>
      <c r="F68">
        <v>-12</v>
      </c>
      <c r="G68" s="9">
        <f t="shared" si="8"/>
        <v>4.223534490861518</v>
      </c>
      <c r="H68" s="8">
        <f>10^G68*SO4FREE</f>
        <v>2.572280567935811</v>
      </c>
      <c r="I68" s="9">
        <f>LOG10(SUM(H60:H68))</f>
        <v>6.287943186166855</v>
      </c>
      <c r="J68" s="8">
        <f t="shared" si="9"/>
        <v>0.00013254860174983425</v>
      </c>
      <c r="O68" s="6"/>
    </row>
    <row r="69" spans="1:15" ht="12">
      <c r="A69" s="2" t="s">
        <v>59</v>
      </c>
      <c r="O69" s="6"/>
    </row>
    <row r="70" spans="1:15" ht="12">
      <c r="A70" s="2" t="s">
        <v>161</v>
      </c>
      <c r="B70" s="9"/>
      <c r="E70" s="9"/>
      <c r="G70" s="9"/>
      <c r="H70">
        <v>1</v>
      </c>
      <c r="I70" s="9"/>
      <c r="J70" s="8">
        <f>100*H70/10^$I$74</f>
        <v>96.76216829804825</v>
      </c>
      <c r="O70" s="6"/>
    </row>
    <row r="71" spans="1:15" ht="12">
      <c r="A71" s="2" t="s">
        <v>163</v>
      </c>
      <c r="B71" s="9">
        <v>6.51</v>
      </c>
      <c r="C71">
        <v>1</v>
      </c>
      <c r="D71">
        <v>0</v>
      </c>
      <c r="E71" s="9">
        <v>0.18</v>
      </c>
      <c r="F71">
        <v>-4</v>
      </c>
      <c r="G71" s="9">
        <f>B71+0.511*F71*IEFF^0.5/(1+C71*IEFF^0.5)+E71*IEFF+D71*IEFF^2</f>
        <v>6.374540152425313</v>
      </c>
      <c r="H71" s="6">
        <f>10^G71*HFREE</f>
        <v>0.023394754956050662</v>
      </c>
      <c r="I71" s="9"/>
      <c r="J71" s="8">
        <f>100*H71/10^$I$74</f>
        <v>2.2637272163489723</v>
      </c>
      <c r="O71" s="6"/>
    </row>
    <row r="72" spans="1:10" ht="12">
      <c r="A72" s="2" t="s">
        <v>165</v>
      </c>
      <c r="B72" s="9">
        <v>6.31</v>
      </c>
      <c r="C72">
        <v>1</v>
      </c>
      <c r="D72">
        <v>0</v>
      </c>
      <c r="E72" s="9">
        <v>0.09</v>
      </c>
      <c r="F72">
        <v>-6</v>
      </c>
      <c r="G72" s="9">
        <f>B72+0.511*F72*IEFF^0.5/(1+C72*IEFF^0.5)+E72*IEFF+D72*IEFF^2</f>
        <v>6.10589022589591</v>
      </c>
      <c r="H72" s="6">
        <f>10^G72*HFREE^2</f>
        <v>1.2446490795524595E-10</v>
      </c>
      <c r="I72" s="9"/>
      <c r="J72" s="8">
        <f>100*H72/10^$I$74</f>
        <v>1.2043494370766595E-08</v>
      </c>
    </row>
    <row r="73" spans="1:10" ht="12">
      <c r="A73" s="2" t="s">
        <v>167</v>
      </c>
      <c r="B73" s="9">
        <v>0.7</v>
      </c>
      <c r="C73">
        <v>1.44</v>
      </c>
      <c r="D73">
        <v>0</v>
      </c>
      <c r="E73" s="9">
        <v>-0.02</v>
      </c>
      <c r="F73">
        <v>-4</v>
      </c>
      <c r="G73" s="9">
        <f>B73+0.511*F73*IEFF^0.5/(1+C73*IEFF^0.5)+E73*IEFF+D73*IEFF^2</f>
        <v>0.5674075356272964</v>
      </c>
      <c r="H73" s="6">
        <f>10^G73*NAFREE</f>
        <v>0.00979676801048787</v>
      </c>
      <c r="I73" s="9"/>
      <c r="J73" s="8">
        <f>100*H73/10^$I$74</f>
        <v>0.9479565150077626</v>
      </c>
    </row>
    <row r="74" spans="1:10" ht="12">
      <c r="A74" s="2" t="s">
        <v>169</v>
      </c>
      <c r="B74" s="9">
        <v>0.8</v>
      </c>
      <c r="C74">
        <v>1.44</v>
      </c>
      <c r="D74">
        <v>0</v>
      </c>
      <c r="E74" s="9">
        <v>-0.02</v>
      </c>
      <c r="F74">
        <v>-4</v>
      </c>
      <c r="G74" s="9">
        <f>B74+0.511*F74*IEFF^0.5/(1+C74*IEFF^0.5)+E74*IEFF+D74*IEFF^2</f>
        <v>0.6674075356272965</v>
      </c>
      <c r="H74" s="6">
        <f>10^G74*KFREE</f>
        <v>0.0002702291506220837</v>
      </c>
      <c r="I74" s="9">
        <f>LOG10(SUM(H70:H74))</f>
        <v>0.014294408299755213</v>
      </c>
      <c r="J74" s="8">
        <f>100*H74/10^$I$74</f>
        <v>0.02614795855153269</v>
      </c>
    </row>
    <row r="75" spans="1:10" ht="12">
      <c r="A75" s="2" t="s">
        <v>59</v>
      </c>
      <c r="B75" s="9"/>
      <c r="E75" s="9"/>
      <c r="G75" s="9"/>
      <c r="I75" s="9"/>
      <c r="J75" s="8"/>
    </row>
    <row r="76" spans="1:15" ht="12">
      <c r="A76" s="2" t="s">
        <v>172</v>
      </c>
      <c r="B76" s="9"/>
      <c r="E76" s="9"/>
      <c r="G76" s="9"/>
      <c r="H76">
        <v>1</v>
      </c>
      <c r="I76" s="9"/>
      <c r="J76" s="8">
        <f>100*H76/10^$I$79</f>
        <v>30.005147035044285</v>
      </c>
      <c r="O76" s="6"/>
    </row>
    <row r="77" spans="1:15" ht="12">
      <c r="A77" s="2" t="s">
        <v>174</v>
      </c>
      <c r="B77" s="9">
        <v>2.33</v>
      </c>
      <c r="C77">
        <v>7.2</v>
      </c>
      <c r="D77">
        <v>0</v>
      </c>
      <c r="E77" s="9">
        <v>0.1</v>
      </c>
      <c r="F77">
        <v>-2</v>
      </c>
      <c r="G77" s="9">
        <f>B77+0.511*F77*IEFF^0.5/(1+C77*IEFF^0.5)+E77*IEFF+D77*IEFF^2</f>
        <v>2.282275241175905</v>
      </c>
      <c r="H77" s="12">
        <f>10^G77*CLFREE</f>
        <v>0.59718866249359</v>
      </c>
      <c r="I77" s="9"/>
      <c r="J77" s="8">
        <f>100*H77/10^$I$79</f>
        <v>17.918733625781606</v>
      </c>
      <c r="O77" s="6"/>
    </row>
    <row r="78" spans="1:15" ht="12">
      <c r="A78" s="2" t="s">
        <v>176</v>
      </c>
      <c r="B78" s="9">
        <v>5.3</v>
      </c>
      <c r="C78">
        <v>5.4</v>
      </c>
      <c r="D78">
        <v>0</v>
      </c>
      <c r="E78" s="9">
        <v>0.13</v>
      </c>
      <c r="F78">
        <v>-2</v>
      </c>
      <c r="G78" s="9">
        <f>B78+0.511*F78*IEFF^0.5/(1+C78*IEFF^0.5)+E78*IEFF+D78*IEFF^2</f>
        <v>5.247950208029783</v>
      </c>
      <c r="H78" s="6">
        <f>10^G78*CLFREE^2</f>
        <v>1.72037385545902</v>
      </c>
      <c r="I78" s="9"/>
      <c r="J78" s="8">
        <f>100*H78/10^$I$79</f>
        <v>51.62007048829392</v>
      </c>
      <c r="O78" s="6"/>
    </row>
    <row r="79" spans="1:15" ht="12">
      <c r="A79" s="2" t="s">
        <v>178</v>
      </c>
      <c r="B79" s="9">
        <v>5.7</v>
      </c>
      <c r="C79">
        <v>1</v>
      </c>
      <c r="D79">
        <v>0</v>
      </c>
      <c r="E79" s="9">
        <v>0.06</v>
      </c>
      <c r="F79">
        <v>0</v>
      </c>
      <c r="G79" s="9">
        <f>B79+0.511*F79*IEFF^0.5/(1+C79*IEFF^0.5)+E79*IEFF+D79*IEFF^2</f>
        <v>5.700306667580687</v>
      </c>
      <c r="H79" s="6">
        <f>10^G79*CLFREE^3</f>
        <v>0.015199020699600172</v>
      </c>
      <c r="I79" s="9">
        <f>LOG10(SUM(H76:H79))</f>
        <v>0.5228042407075191</v>
      </c>
      <c r="J79" s="8">
        <f>100*H79/10^$I$79</f>
        <v>0.4560488508801848</v>
      </c>
      <c r="O79" s="6"/>
    </row>
    <row r="80" spans="1:15" ht="12">
      <c r="A80" s="2" t="s">
        <v>59</v>
      </c>
      <c r="O80" s="6"/>
    </row>
    <row r="81" spans="1:15" ht="12">
      <c r="A81" s="2" t="s">
        <v>181</v>
      </c>
      <c r="B81" s="9"/>
      <c r="E81" s="9"/>
      <c r="G81" s="9"/>
      <c r="H81" s="12">
        <v>1</v>
      </c>
      <c r="I81" s="9"/>
      <c r="J81" s="8">
        <f aca="true" t="shared" si="10" ref="J81:J86">100*H81/10^$I$91</f>
        <v>8.526906634010304</v>
      </c>
      <c r="K81" s="2" t="s">
        <v>182</v>
      </c>
      <c r="M81" s="2" t="s">
        <v>183</v>
      </c>
      <c r="O81" s="6"/>
    </row>
    <row r="82" spans="1:11" ht="12">
      <c r="A82" s="37" t="s">
        <v>647</v>
      </c>
      <c r="G82">
        <v>3.45</v>
      </c>
      <c r="H82" s="38">
        <f>10^G82*BOH4FREE</f>
        <v>0.0003803714494693761</v>
      </c>
      <c r="J82" s="8">
        <f t="shared" si="10"/>
        <v>0.0032433918358685384</v>
      </c>
      <c r="K82" s="34" t="s">
        <v>186</v>
      </c>
    </row>
    <row r="83" spans="1:15" ht="12">
      <c r="A83" s="2" t="s">
        <v>185</v>
      </c>
      <c r="B83" s="9">
        <v>-7.6</v>
      </c>
      <c r="C83">
        <v>1</v>
      </c>
      <c r="D83">
        <v>0</v>
      </c>
      <c r="E83" s="9">
        <v>0.23</v>
      </c>
      <c r="F83">
        <v>-2</v>
      </c>
      <c r="G83" s="9">
        <f aca="true" t="shared" si="11" ref="G83:G88">B83+0.511*F83*IEFF^0.5/(1+C83*IEFF^0.5)+E83*IEFF+D83*IEFF^2</f>
        <v>-7.667014366099075</v>
      </c>
      <c r="H83" s="9">
        <f>10^G83/HFREE</f>
        <v>2.1797530082976</v>
      </c>
      <c r="I83" s="9"/>
      <c r="J83" s="8">
        <f t="shared" si="10"/>
        <v>18.586550386956723</v>
      </c>
      <c r="K83" s="2" t="s">
        <v>186</v>
      </c>
      <c r="M83" s="9"/>
      <c r="O83" s="6"/>
    </row>
    <row r="84" spans="1:13" ht="12">
      <c r="A84" s="2" t="s">
        <v>188</v>
      </c>
      <c r="B84" s="9">
        <v>-17.3</v>
      </c>
      <c r="C84">
        <v>1</v>
      </c>
      <c r="D84">
        <v>0</v>
      </c>
      <c r="E84" s="9">
        <v>0.2</v>
      </c>
      <c r="F84">
        <v>-2</v>
      </c>
      <c r="G84" s="9">
        <f t="shared" si="11"/>
        <v>-17.36716769988942</v>
      </c>
      <c r="H84" s="9">
        <f>10^G84/HFREE^2</f>
        <v>0.04402259139126188</v>
      </c>
      <c r="I84" s="9"/>
      <c r="J84" s="8">
        <f t="shared" si="10"/>
        <v>0.3753765265804758</v>
      </c>
      <c r="K84" s="2" t="s">
        <v>186</v>
      </c>
      <c r="M84" s="9"/>
    </row>
    <row r="85" spans="1:13" ht="12">
      <c r="A85" s="2" t="s">
        <v>190</v>
      </c>
      <c r="B85" s="9">
        <v>-27.8</v>
      </c>
      <c r="C85">
        <v>1</v>
      </c>
      <c r="D85">
        <v>0</v>
      </c>
      <c r="E85" s="9">
        <v>-0.04</v>
      </c>
      <c r="F85">
        <v>0</v>
      </c>
      <c r="G85" s="9">
        <f t="shared" si="11"/>
        <v>-27.80020444505379</v>
      </c>
      <c r="H85" s="6">
        <f>10^G85/HFREE^3</f>
        <v>0.00016446008499542013</v>
      </c>
      <c r="I85" s="9"/>
      <c r="J85" s="8">
        <f t="shared" si="10"/>
        <v>0.0014023357897773464</v>
      </c>
      <c r="M85" s="2" t="s">
        <v>191</v>
      </c>
    </row>
    <row r="86" spans="1:10" ht="12">
      <c r="A86" s="2" t="s">
        <v>193</v>
      </c>
      <c r="B86" s="9">
        <v>-39.6</v>
      </c>
      <c r="C86">
        <v>1</v>
      </c>
      <c r="D86">
        <v>0</v>
      </c>
      <c r="E86" s="9">
        <v>-0.16</v>
      </c>
      <c r="F86">
        <v>4</v>
      </c>
      <c r="G86" s="9">
        <f t="shared" si="11"/>
        <v>-39.464437929898416</v>
      </c>
      <c r="H86" s="6">
        <f>10^G86/HFREE^4</f>
        <v>3.607851697388922E-08</v>
      </c>
      <c r="I86" s="9"/>
      <c r="J86" s="8">
        <f t="shared" si="10"/>
        <v>3.076381457299094E-07</v>
      </c>
    </row>
    <row r="87" spans="1:16" ht="12">
      <c r="A87" s="2" t="s">
        <v>195</v>
      </c>
      <c r="B87" s="9">
        <v>6.75</v>
      </c>
      <c r="C87">
        <v>1.63</v>
      </c>
      <c r="D87">
        <v>0</v>
      </c>
      <c r="E87" s="9">
        <v>0.05</v>
      </c>
      <c r="F87">
        <v>-8</v>
      </c>
      <c r="G87" s="9">
        <f t="shared" si="11"/>
        <v>6.488498772103412</v>
      </c>
      <c r="H87" s="9">
        <f>10^$K$87*CO3SW</f>
        <v>1.3102607420042238</v>
      </c>
      <c r="J87" s="8">
        <f>100*$H$87/10^$I$91</f>
        <v>11.172471013279079</v>
      </c>
      <c r="K87" s="9">
        <f>6.74-542.1/TEMP</f>
        <v>4.921787690759684</v>
      </c>
      <c r="L87" s="2" t="s">
        <v>196</v>
      </c>
      <c r="O87" s="9">
        <f>10^G87*CO3FREE</f>
        <v>41.00116461291414</v>
      </c>
      <c r="P87" s="2" t="s">
        <v>197</v>
      </c>
    </row>
    <row r="88" spans="1:14" ht="12">
      <c r="A88" s="2" t="s">
        <v>199</v>
      </c>
      <c r="B88" s="9">
        <v>10.87</v>
      </c>
      <c r="C88">
        <v>1.61</v>
      </c>
      <c r="D88">
        <v>0</v>
      </c>
      <c r="E88" s="9">
        <v>-0.22</v>
      </c>
      <c r="F88">
        <v>-8</v>
      </c>
      <c r="G88" s="9">
        <f t="shared" si="11"/>
        <v>10.606783129684619</v>
      </c>
      <c r="H88" s="9">
        <f>10^G88*CO3FREE^2</f>
        <v>7.1676694856692915</v>
      </c>
      <c r="I88" s="9"/>
      <c r="J88" s="8">
        <f>100*H88/10^$I$91</f>
        <v>61.118048487746705</v>
      </c>
      <c r="K88" s="17" t="s">
        <v>200</v>
      </c>
      <c r="N88" s="6"/>
    </row>
    <row r="89" spans="1:14" ht="12">
      <c r="A89" s="2" t="s">
        <v>202</v>
      </c>
      <c r="B89" s="9"/>
      <c r="E89" s="9"/>
      <c r="G89" s="9">
        <v>1</v>
      </c>
      <c r="H89" s="6">
        <f>10^G89*HCO3FREE^2</f>
        <v>5.3222783589960116E-05</v>
      </c>
      <c r="I89" s="9"/>
      <c r="J89" s="8">
        <f>100*H89/10^$I$91</f>
        <v>0.00045382570647372564</v>
      </c>
      <c r="M89" s="6"/>
      <c r="N89" s="6"/>
    </row>
    <row r="90" spans="1:14" ht="12">
      <c r="A90" s="2" t="s">
        <v>204</v>
      </c>
      <c r="B90" s="9">
        <v>0.4</v>
      </c>
      <c r="C90">
        <v>1.57</v>
      </c>
      <c r="D90">
        <v>0</v>
      </c>
      <c r="E90" s="9">
        <v>0.17</v>
      </c>
      <c r="F90">
        <v>-4</v>
      </c>
      <c r="G90" s="9">
        <f>B90+0.511*F90*IEFF^0.5/(1+C90*IEFF^0.5)+E90*IEFF+D90*IEFF^2</f>
        <v>0.269485747474324</v>
      </c>
      <c r="H90" s="9">
        <f>10^G90*CLFREE</f>
        <v>0.005798585436307414</v>
      </c>
      <c r="I90" s="9"/>
      <c r="J90" s="8">
        <f>100*H90/10^$I$91</f>
        <v>0.04944399662472522</v>
      </c>
      <c r="K90" s="18" t="s">
        <v>205</v>
      </c>
      <c r="L90" s="15"/>
      <c r="M90" s="6"/>
      <c r="N90" s="6"/>
    </row>
    <row r="91" spans="1:14" ht="12">
      <c r="A91" s="2" t="s">
        <v>207</v>
      </c>
      <c r="B91" s="9">
        <v>2.36</v>
      </c>
      <c r="C91">
        <v>1.91</v>
      </c>
      <c r="D91">
        <v>0</v>
      </c>
      <c r="E91" s="9">
        <v>-0.01</v>
      </c>
      <c r="F91">
        <v>-8</v>
      </c>
      <c r="G91" s="9">
        <f>B91+0.511*F91*IEFF^0.5/(1+C91*IEFF^0.5)+E91*IEFF+D91*IEFF^2</f>
        <v>2.102802367971172</v>
      </c>
      <c r="H91" s="9">
        <f>10^G91*SO4FREE</f>
        <v>0.019479877165436824</v>
      </c>
      <c r="I91" s="9">
        <f>LOG10(SUM(H81:H91))</f>
        <v>1.0692084923299534</v>
      </c>
      <c r="J91" s="8">
        <f>100*H91/10^$I$91</f>
        <v>0.16610309383166907</v>
      </c>
      <c r="K91" s="12">
        <f>10^I91</f>
        <v>11.7275823803607</v>
      </c>
      <c r="M91" s="2" t="s">
        <v>208</v>
      </c>
      <c r="N91" s="6"/>
    </row>
    <row r="92" spans="1:14" ht="12">
      <c r="A92" s="2" t="s">
        <v>59</v>
      </c>
      <c r="N92" s="6"/>
    </row>
    <row r="93" spans="1:14" ht="12">
      <c r="A93" s="2" t="s">
        <v>211</v>
      </c>
      <c r="B93" s="9"/>
      <c r="E93" s="9"/>
      <c r="H93">
        <v>1</v>
      </c>
      <c r="I93" s="9"/>
      <c r="J93" s="8">
        <f aca="true" t="shared" si="12" ref="J93:J101">100*H93/10^$I$101</f>
        <v>69.56905435667804</v>
      </c>
      <c r="N93" s="6"/>
    </row>
    <row r="94" spans="1:14" ht="12">
      <c r="A94" s="2" t="s">
        <v>213</v>
      </c>
      <c r="B94" s="9">
        <v>-9.5</v>
      </c>
      <c r="C94">
        <v>2.1</v>
      </c>
      <c r="D94">
        <v>0</v>
      </c>
      <c r="E94" s="9">
        <v>0.01</v>
      </c>
      <c r="F94">
        <v>-2</v>
      </c>
      <c r="G94" s="9">
        <f aca="true" t="shared" si="13" ref="G94:G101">B94+0.511*F94*IEFF^0.5/(1+C94*IEFF^0.5)+E94*IEFF+D94*IEFF^2</f>
        <v>-9.56347626977153</v>
      </c>
      <c r="H94" s="6">
        <f>10^G94/HFREE</f>
        <v>0.027665936897753356</v>
      </c>
      <c r="I94" s="9"/>
      <c r="J94" s="8">
        <f t="shared" si="12"/>
        <v>1.924693067868228</v>
      </c>
      <c r="N94" s="6"/>
    </row>
    <row r="95" spans="1:14" ht="12">
      <c r="A95" s="2" t="s">
        <v>215</v>
      </c>
      <c r="B95" s="9">
        <v>-20.6</v>
      </c>
      <c r="C95">
        <v>2.01</v>
      </c>
      <c r="D95">
        <v>0</v>
      </c>
      <c r="E95" s="9">
        <v>-0.12</v>
      </c>
      <c r="F95">
        <v>-2</v>
      </c>
      <c r="G95" s="9">
        <f t="shared" si="13"/>
        <v>-20.664498112412407</v>
      </c>
      <c r="H95" s="6">
        <f>10^G95/HFREE^2</f>
        <v>2.219960214439464E-05</v>
      </c>
      <c r="I95" s="9"/>
      <c r="J95" s="8">
        <f t="shared" si="12"/>
        <v>0.001544405328280017</v>
      </c>
      <c r="N95" s="6"/>
    </row>
    <row r="96" spans="1:14" ht="12">
      <c r="A96" s="2" t="s">
        <v>217</v>
      </c>
      <c r="B96" s="9">
        <v>-31</v>
      </c>
      <c r="C96">
        <v>0</v>
      </c>
      <c r="D96">
        <v>-0.07</v>
      </c>
      <c r="E96" s="9">
        <v>-0.09</v>
      </c>
      <c r="F96">
        <v>0</v>
      </c>
      <c r="G96" s="9">
        <f t="shared" si="13"/>
        <v>-31.00046183002391</v>
      </c>
      <c r="H96" s="6">
        <f>10^G96/HFREE^3</f>
        <v>1.0370581894946078E-07</v>
      </c>
      <c r="I96" s="9"/>
      <c r="J96" s="8">
        <f t="shared" si="12"/>
        <v>7.214715755598848E-06</v>
      </c>
      <c r="N96" s="6"/>
    </row>
    <row r="97" spans="1:14" ht="12">
      <c r="A97" s="2" t="s">
        <v>219</v>
      </c>
      <c r="B97" s="9">
        <v>-46</v>
      </c>
      <c r="C97">
        <v>1</v>
      </c>
      <c r="D97">
        <v>0</v>
      </c>
      <c r="E97" s="9">
        <v>-0.34</v>
      </c>
      <c r="F97">
        <v>4</v>
      </c>
      <c r="G97" s="9">
        <f t="shared" si="13"/>
        <v>-45.86535793264047</v>
      </c>
      <c r="H97" s="6">
        <f>10^G97/HFREE^4</f>
        <v>1.4332721910731127E-14</v>
      </c>
      <c r="I97" s="9"/>
      <c r="J97" s="8">
        <f t="shared" si="12"/>
        <v>9.971139096868042E-13</v>
      </c>
      <c r="N97" s="6"/>
    </row>
    <row r="98" spans="1:14" ht="12">
      <c r="A98" s="2" t="s">
        <v>221</v>
      </c>
      <c r="B98" s="9">
        <v>1.42</v>
      </c>
      <c r="C98">
        <v>1.57</v>
      </c>
      <c r="D98">
        <v>0</v>
      </c>
      <c r="E98" s="9">
        <v>0.17</v>
      </c>
      <c r="F98">
        <v>-4</v>
      </c>
      <c r="G98" s="9">
        <f t="shared" si="13"/>
        <v>1.289485747474324</v>
      </c>
      <c r="H98" s="6">
        <f>10^G98*FFREE</f>
        <v>7.446281970206101E-06</v>
      </c>
      <c r="I98" s="9"/>
      <c r="J98" s="8">
        <f t="shared" si="12"/>
        <v>0.0005180307951404199</v>
      </c>
      <c r="N98" s="6"/>
    </row>
    <row r="99" spans="1:10" ht="12">
      <c r="A99" s="2" t="s">
        <v>223</v>
      </c>
      <c r="B99" s="9">
        <v>0.32</v>
      </c>
      <c r="C99">
        <v>1.57</v>
      </c>
      <c r="D99">
        <v>0</v>
      </c>
      <c r="E99" s="9">
        <v>0.17</v>
      </c>
      <c r="F99">
        <v>-4</v>
      </c>
      <c r="G99" s="9">
        <f t="shared" si="13"/>
        <v>0.18948574747432398</v>
      </c>
      <c r="H99" s="6">
        <f>10^G99*CLFREE</f>
        <v>0.004823053289564081</v>
      </c>
      <c r="I99" s="9"/>
      <c r="J99" s="8">
        <f t="shared" si="12"/>
        <v>0.33553525646683835</v>
      </c>
    </row>
    <row r="100" spans="1:11" ht="12">
      <c r="A100" s="2" t="s">
        <v>225</v>
      </c>
      <c r="B100" s="9">
        <v>2.2</v>
      </c>
      <c r="C100">
        <v>1.63</v>
      </c>
      <c r="D100">
        <v>0</v>
      </c>
      <c r="E100" s="9">
        <v>0.05</v>
      </c>
      <c r="F100">
        <v>-8</v>
      </c>
      <c r="G100" s="9">
        <f t="shared" si="13"/>
        <v>1.9384987721034124</v>
      </c>
      <c r="H100" s="6">
        <f>10^G100*SO4FREE</f>
        <v>0.013343895067626354</v>
      </c>
      <c r="I100" s="9"/>
      <c r="J100" s="8">
        <f t="shared" si="12"/>
        <v>0.9283221612895058</v>
      </c>
      <c r="K100" s="4" t="s">
        <v>956</v>
      </c>
    </row>
    <row r="101" spans="1:11" ht="12">
      <c r="A101" s="2" t="s">
        <v>227</v>
      </c>
      <c r="B101" s="9">
        <v>4.73</v>
      </c>
      <c r="C101">
        <v>1.63</v>
      </c>
      <c r="D101">
        <v>0</v>
      </c>
      <c r="E101" s="9">
        <v>0.05</v>
      </c>
      <c r="F101">
        <v>-8</v>
      </c>
      <c r="G101" s="9">
        <f t="shared" si="13"/>
        <v>4.468498772103413</v>
      </c>
      <c r="H101" s="6">
        <f>10^G101*CO3FREE</f>
        <v>0.39155808223577454</v>
      </c>
      <c r="I101" s="9">
        <f>LOG10(SUM(H93:H101))</f>
        <v>0.15758389991197472</v>
      </c>
      <c r="J101" s="8">
        <f t="shared" si="12"/>
        <v>27.240325506857207</v>
      </c>
      <c r="K101" s="8">
        <f>10^I101</f>
        <v>1.4374207170806663</v>
      </c>
    </row>
    <row r="102" ht="12">
      <c r="A102" s="2" t="s">
        <v>59</v>
      </c>
    </row>
    <row r="103" spans="1:16" ht="12">
      <c r="A103" s="2" t="s">
        <v>232</v>
      </c>
      <c r="B103" s="9"/>
      <c r="E103" s="9"/>
      <c r="G103" s="9"/>
      <c r="H103">
        <v>1</v>
      </c>
      <c r="I103" s="9"/>
      <c r="J103" s="8">
        <f aca="true" t="shared" si="14" ref="J103:J116">100*H103/10^$I$116</f>
        <v>1.3630039831566504E-10</v>
      </c>
      <c r="L103" s="2" t="s">
        <v>233</v>
      </c>
      <c r="P103" s="2" t="s">
        <v>234</v>
      </c>
    </row>
    <row r="104" spans="1:15" ht="12">
      <c r="A104" s="2" t="s">
        <v>239</v>
      </c>
      <c r="B104" s="9">
        <v>-2.19</v>
      </c>
      <c r="C104">
        <v>2.71</v>
      </c>
      <c r="D104">
        <v>0</v>
      </c>
      <c r="E104" s="9">
        <v>-0.04</v>
      </c>
      <c r="F104">
        <v>-4</v>
      </c>
      <c r="G104" s="9">
        <f aca="true" t="shared" si="15" ref="G104:G116">B104+0.511*F104*IEFF^0.5/(1+C104*IEFF^0.5)+E104*IEFF+D104*IEFF^2</f>
        <v>-2.312617604078534</v>
      </c>
      <c r="H104" s="6">
        <f>10^G104/HFREE</f>
        <v>492951.3357173834</v>
      </c>
      <c r="I104" s="9"/>
      <c r="J104" s="8">
        <f t="shared" si="14"/>
        <v>6.718946340851848E-05</v>
      </c>
      <c r="L104">
        <v>-2.8</v>
      </c>
      <c r="M104" s="6">
        <f>10^L104/HFREE</f>
        <v>160480.27201510876</v>
      </c>
      <c r="O104" s="19" t="s">
        <v>240</v>
      </c>
    </row>
    <row r="105" spans="1:16" ht="12">
      <c r="A105" s="2" t="s">
        <v>243</v>
      </c>
      <c r="B105" s="9">
        <v>-5.67</v>
      </c>
      <c r="C105">
        <v>3.71</v>
      </c>
      <c r="D105">
        <v>0</v>
      </c>
      <c r="E105" s="9">
        <v>-0.16</v>
      </c>
      <c r="F105">
        <v>-6</v>
      </c>
      <c r="G105" s="9">
        <f t="shared" si="15"/>
        <v>-5.844062086826936</v>
      </c>
      <c r="H105" s="6">
        <f>10^G105/HFREE^2</f>
        <v>14681864674.863863</v>
      </c>
      <c r="I105" s="9"/>
      <c r="J105" s="8">
        <f t="shared" si="14"/>
        <v>2.0011440032006367</v>
      </c>
      <c r="L105">
        <v>-6.49</v>
      </c>
      <c r="M105" s="6">
        <f>10^L105/HFREE^2</f>
        <v>3317747293.915208</v>
      </c>
      <c r="O105" s="8">
        <v>-6</v>
      </c>
      <c r="P105" s="6">
        <f>10^O105/HFREE^2</f>
        <v>10252819308.620512</v>
      </c>
    </row>
    <row r="106" spans="1:16" ht="12">
      <c r="A106" s="2" t="s">
        <v>246</v>
      </c>
      <c r="B106" s="9">
        <v>-12</v>
      </c>
      <c r="C106">
        <v>3.81</v>
      </c>
      <c r="D106">
        <v>0</v>
      </c>
      <c r="E106" s="9">
        <v>-0.07</v>
      </c>
      <c r="F106">
        <v>-6</v>
      </c>
      <c r="G106" s="9">
        <f t="shared" si="15"/>
        <v>-12.172628668922929</v>
      </c>
      <c r="H106" s="6">
        <f>10^G106/HFREE^3</f>
        <v>697647892306.7092</v>
      </c>
      <c r="I106" s="9"/>
      <c r="J106" s="8">
        <f t="shared" si="14"/>
        <v>95.08968560548865</v>
      </c>
      <c r="M106" s="6"/>
      <c r="O106" s="8">
        <v>-12.5</v>
      </c>
      <c r="P106" s="6">
        <f>10^O106/HFREE^3</f>
        <v>328295519353.3172</v>
      </c>
    </row>
    <row r="107" spans="1:16" ht="12">
      <c r="A107" s="2" t="s">
        <v>249</v>
      </c>
      <c r="B107" s="9">
        <v>-21.6</v>
      </c>
      <c r="C107">
        <v>8.4</v>
      </c>
      <c r="D107">
        <v>0</v>
      </c>
      <c r="E107" s="9">
        <v>-0.22</v>
      </c>
      <c r="F107">
        <v>-4</v>
      </c>
      <c r="G107" s="9">
        <f t="shared" si="15"/>
        <v>-21.692425187861478</v>
      </c>
      <c r="H107" s="6">
        <f>10^G107/HFREE^4</f>
        <v>21343292654.703396</v>
      </c>
      <c r="I107" s="9"/>
      <c r="J107" s="8">
        <f t="shared" si="14"/>
        <v>2.909099290203881</v>
      </c>
      <c r="L107">
        <v>-22.16</v>
      </c>
      <c r="M107" s="6">
        <f>10^L107/HFREE^4</f>
        <v>7272548182.410449</v>
      </c>
      <c r="O107" s="8">
        <v>-21.8</v>
      </c>
      <c r="P107" s="6">
        <f>10^O107/HFREE^4</f>
        <v>16660445384.27922</v>
      </c>
    </row>
    <row r="108" spans="1:16" ht="12">
      <c r="A108" s="2" t="s">
        <v>253</v>
      </c>
      <c r="B108" s="9">
        <v>6</v>
      </c>
      <c r="C108">
        <v>1.77</v>
      </c>
      <c r="D108">
        <v>0</v>
      </c>
      <c r="E108" s="9">
        <v>0.29</v>
      </c>
      <c r="F108">
        <v>-6</v>
      </c>
      <c r="G108" s="9">
        <f t="shared" si="15"/>
        <v>5.806908847453229</v>
      </c>
      <c r="H108" s="6">
        <f>10^G108*FFREE</f>
        <v>0.24511087352858746</v>
      </c>
      <c r="I108" s="9"/>
      <c r="J108" s="8">
        <f t="shared" si="14"/>
        <v>3.340870969344707E-11</v>
      </c>
      <c r="M108" s="3" t="s">
        <v>254</v>
      </c>
      <c r="N108" s="9">
        <f>LOG10(SUM(M104:M107))</f>
        <v>10.02491465842397</v>
      </c>
      <c r="O108" s="3" t="s">
        <v>254</v>
      </c>
      <c r="P108" s="9">
        <f>LOG10(SUM(P104:P107))</f>
        <v>11.550483697015435</v>
      </c>
    </row>
    <row r="109" spans="1:12" ht="12">
      <c r="A109" s="2" t="s">
        <v>258</v>
      </c>
      <c r="B109" s="9">
        <v>10.76</v>
      </c>
      <c r="C109">
        <v>1.33</v>
      </c>
      <c r="D109">
        <v>0</v>
      </c>
      <c r="E109" s="9">
        <v>0.5</v>
      </c>
      <c r="F109">
        <v>-6</v>
      </c>
      <c r="G109" s="9">
        <f t="shared" si="15"/>
        <v>10.562393021247763</v>
      </c>
      <c r="H109" s="6">
        <f>10^G109*FFREE^2</f>
        <v>0.005337040294912664</v>
      </c>
      <c r="I109" s="9"/>
      <c r="J109" s="8">
        <f t="shared" si="14"/>
        <v>7.274407180233505E-13</v>
      </c>
      <c r="L109" t="s">
        <v>259</v>
      </c>
    </row>
    <row r="110" spans="1:12" ht="12">
      <c r="A110" s="2" t="s">
        <v>262</v>
      </c>
      <c r="B110" s="9">
        <v>13.79</v>
      </c>
      <c r="C110">
        <v>1.57</v>
      </c>
      <c r="D110">
        <v>0</v>
      </c>
      <c r="E110" s="9">
        <v>0.7</v>
      </c>
      <c r="F110">
        <v>-12</v>
      </c>
      <c r="G110" s="9">
        <f t="shared" si="15"/>
        <v>13.399428356428478</v>
      </c>
      <c r="H110" s="6">
        <f>10^G110*FFREE^3</f>
        <v>1.4021340860808214E-06</v>
      </c>
      <c r="I110" s="9"/>
      <c r="J110" s="8">
        <f t="shared" si="14"/>
        <v>1.9111143442478694E-16</v>
      </c>
      <c r="L110" t="s">
        <v>263</v>
      </c>
    </row>
    <row r="111" spans="1:12" ht="12">
      <c r="A111" s="2" t="s">
        <v>269</v>
      </c>
      <c r="B111" s="9">
        <v>1.4</v>
      </c>
      <c r="C111">
        <v>1.89</v>
      </c>
      <c r="D111">
        <v>0</v>
      </c>
      <c r="E111" s="9">
        <v>0.2</v>
      </c>
      <c r="F111">
        <v>-6</v>
      </c>
      <c r="G111" s="9">
        <f t="shared" si="15"/>
        <v>1.2079194006464777</v>
      </c>
      <c r="H111" s="6">
        <f>10^G111*CLFREE</f>
        <v>0.05032174742657963</v>
      </c>
      <c r="I111" s="9"/>
      <c r="J111" s="8">
        <f t="shared" si="14"/>
        <v>6.858874218183096E-12</v>
      </c>
      <c r="L111" s="20">
        <v>470000</v>
      </c>
    </row>
    <row r="112" spans="1:17" ht="12">
      <c r="A112" s="2" t="s">
        <v>273</v>
      </c>
      <c r="B112" s="9">
        <v>2.44</v>
      </c>
      <c r="C112">
        <v>1.33</v>
      </c>
      <c r="D112">
        <v>0</v>
      </c>
      <c r="E112" s="9">
        <v>0.5</v>
      </c>
      <c r="F112">
        <v>-10</v>
      </c>
      <c r="G112" s="9">
        <f t="shared" si="15"/>
        <v>2.1089513266313458</v>
      </c>
      <c r="H112" s="6">
        <f>10^G112*CLFREE^2</f>
        <v>0.0012491769229344603</v>
      </c>
      <c r="I112" s="9"/>
      <c r="J112" s="8">
        <f t="shared" si="14"/>
        <v>1.7026331216270374E-13</v>
      </c>
      <c r="L112" s="2" t="s">
        <v>274</v>
      </c>
      <c r="M112" t="s">
        <v>275</v>
      </c>
      <c r="Q112" t="s">
        <v>276</v>
      </c>
    </row>
    <row r="113" spans="1:17" ht="12">
      <c r="A113" s="2" t="s">
        <v>281</v>
      </c>
      <c r="B113" s="9">
        <v>0.99</v>
      </c>
      <c r="C113">
        <v>1.57</v>
      </c>
      <c r="D113">
        <v>0</v>
      </c>
      <c r="E113" s="9">
        <v>0.7</v>
      </c>
      <c r="F113">
        <v>-12</v>
      </c>
      <c r="G113" s="9">
        <f t="shared" si="15"/>
        <v>0.5994283564284796</v>
      </c>
      <c r="H113" s="6">
        <f>10^G113*CLFREE^3</f>
        <v>1.2048619663800852E-07</v>
      </c>
      <c r="I113" s="9"/>
      <c r="J113" s="8">
        <f t="shared" si="14"/>
        <v>1.6422316593300103E-17</v>
      </c>
      <c r="L113" s="12">
        <f>L111*10^I116*HFREE^3*1000000000</f>
        <v>332.15116306955485</v>
      </c>
      <c r="M113">
        <f>L111*HFREE^3</f>
        <v>4.527233582739174E-19</v>
      </c>
      <c r="Q113" s="2" t="s">
        <v>282</v>
      </c>
    </row>
    <row r="114" spans="1:10" ht="12">
      <c r="A114" s="2" t="s">
        <v>285</v>
      </c>
      <c r="B114" s="9">
        <v>4.04</v>
      </c>
      <c r="C114">
        <v>1.85</v>
      </c>
      <c r="D114">
        <v>0</v>
      </c>
      <c r="E114" s="9">
        <v>0.14</v>
      </c>
      <c r="F114">
        <v>-12</v>
      </c>
      <c r="G114" s="9">
        <f t="shared" si="15"/>
        <v>3.6535344908615186</v>
      </c>
      <c r="H114" s="6">
        <f>10^G114*SO4FREE</f>
        <v>0.6923382674064128</v>
      </c>
      <c r="I114" s="9"/>
      <c r="J114" s="8">
        <f t="shared" si="14"/>
        <v>9.436598161667148E-11</v>
      </c>
    </row>
    <row r="115" spans="1:11" ht="12">
      <c r="A115" s="2" t="s">
        <v>289</v>
      </c>
      <c r="B115" s="9">
        <v>5.38</v>
      </c>
      <c r="C115">
        <v>2.35</v>
      </c>
      <c r="D115">
        <v>0</v>
      </c>
      <c r="E115" s="9">
        <v>-0.39</v>
      </c>
      <c r="F115">
        <v>-16</v>
      </c>
      <c r="G115" s="9">
        <f t="shared" si="15"/>
        <v>4.877564467122577</v>
      </c>
      <c r="H115" s="6">
        <f>10^G115*SO4FREE^2</f>
        <v>0.0017829212417838558</v>
      </c>
      <c r="I115" s="9"/>
      <c r="J115" s="8">
        <f t="shared" si="14"/>
        <v>2.4301287542059967E-13</v>
      </c>
      <c r="K115" t="s">
        <v>290</v>
      </c>
    </row>
    <row r="116" spans="1:11" ht="12">
      <c r="A116" s="2" t="s">
        <v>292</v>
      </c>
      <c r="B116" s="9">
        <v>9.72</v>
      </c>
      <c r="C116">
        <v>1.85</v>
      </c>
      <c r="D116">
        <v>0</v>
      </c>
      <c r="E116" s="9">
        <v>0.14</v>
      </c>
      <c r="F116">
        <v>-12</v>
      </c>
      <c r="G116" s="9">
        <f t="shared" si="15"/>
        <v>9.333534490861519</v>
      </c>
      <c r="H116" s="6">
        <f>10^G116*CO3FREE</f>
        <v>28696.696957679873</v>
      </c>
      <c r="I116" s="9">
        <f>LOG10(SUM(H103:H116))</f>
        <v>11.86550287500874</v>
      </c>
      <c r="J116" s="8">
        <f t="shared" si="14"/>
        <v>3.9113712256757E-06</v>
      </c>
      <c r="K116" s="9">
        <f>LOG10(SUM(H103:H105)+SUM(H107:H116))</f>
        <v>10.556612174754953</v>
      </c>
    </row>
    <row r="117" ht="12">
      <c r="A117" s="2" t="s">
        <v>59</v>
      </c>
    </row>
    <row r="118" spans="1:10" ht="12">
      <c r="A118" s="2" t="s">
        <v>297</v>
      </c>
      <c r="B118" s="9"/>
      <c r="E118" s="9"/>
      <c r="G118" s="9"/>
      <c r="H118">
        <v>1</v>
      </c>
      <c r="I118" s="9"/>
      <c r="J118" s="8">
        <f aca="true" t="shared" si="16" ref="J118:J126">100*H118/10^$I$126</f>
        <v>89.29247105116241</v>
      </c>
    </row>
    <row r="119" spans="1:10" ht="12">
      <c r="A119" s="2" t="s">
        <v>302</v>
      </c>
      <c r="B119" s="9">
        <v>-10.59</v>
      </c>
      <c r="C119">
        <v>2.02</v>
      </c>
      <c r="D119">
        <v>0</v>
      </c>
      <c r="E119" s="9">
        <v>-0.03</v>
      </c>
      <c r="F119">
        <v>-2</v>
      </c>
      <c r="G119" s="9">
        <f aca="true" t="shared" si="17" ref="G119:G126">B119+0.511*F119*IEFF^0.5/(1+C119*IEFF^0.5)+E119*IEFF+D119*IEFF^2</f>
        <v>-10.653998201890914</v>
      </c>
      <c r="H119" s="6">
        <f>10^G119/HFREE</f>
        <v>0.0022460708417395172</v>
      </c>
      <c r="I119" s="9"/>
      <c r="J119" s="8">
        <f t="shared" si="16"/>
        <v>0.20055721561488585</v>
      </c>
    </row>
    <row r="120" spans="1:10" ht="12">
      <c r="A120" s="2" t="s">
        <v>305</v>
      </c>
      <c r="B120" s="9">
        <v>-22.2</v>
      </c>
      <c r="C120">
        <v>2.01</v>
      </c>
      <c r="D120">
        <v>0</v>
      </c>
      <c r="E120" s="9">
        <v>-0.12</v>
      </c>
      <c r="F120">
        <v>-2</v>
      </c>
      <c r="G120" s="9">
        <f t="shared" si="17"/>
        <v>-22.264498112412404</v>
      </c>
      <c r="H120" s="6">
        <f>10^G120/HFREE^2</f>
        <v>5.576287941141593E-07</v>
      </c>
      <c r="I120" s="9"/>
      <c r="J120" s="8">
        <f t="shared" si="16"/>
        <v>4.9792052955733176E-05</v>
      </c>
    </row>
    <row r="121" spans="1:10" ht="12">
      <c r="A121" s="2" t="s">
        <v>309</v>
      </c>
      <c r="B121" s="9">
        <v>-34.8</v>
      </c>
      <c r="C121">
        <v>0</v>
      </c>
      <c r="D121">
        <v>-0.07</v>
      </c>
      <c r="E121" s="9">
        <v>-0.09</v>
      </c>
      <c r="F121">
        <v>0</v>
      </c>
      <c r="G121" s="9">
        <f t="shared" si="17"/>
        <v>-34.800461830023906</v>
      </c>
      <c r="H121" s="6">
        <f>10^G121/HFREE^3</f>
        <v>1.6436264647160645E-11</v>
      </c>
      <c r="I121" s="9"/>
      <c r="J121" s="8">
        <f t="shared" si="16"/>
        <v>1.4676346851958362E-09</v>
      </c>
    </row>
    <row r="122" spans="1:10" ht="12">
      <c r="A122" s="2" t="s">
        <v>312</v>
      </c>
      <c r="B122" s="9">
        <v>-48.3</v>
      </c>
      <c r="C122">
        <v>1</v>
      </c>
      <c r="D122">
        <v>0</v>
      </c>
      <c r="E122" s="9">
        <v>-0.34</v>
      </c>
      <c r="F122">
        <v>4</v>
      </c>
      <c r="G122" s="9">
        <f t="shared" si="17"/>
        <v>-48.16535793264047</v>
      </c>
      <c r="H122" s="6">
        <f>10^G122/HFREE^4</f>
        <v>7.183377244788382E-17</v>
      </c>
      <c r="I122" s="9"/>
      <c r="J122" s="8">
        <f t="shared" si="16"/>
        <v>6.4142150467984534E-15</v>
      </c>
    </row>
    <row r="123" spans="1:10" ht="12">
      <c r="A123" s="2" t="s">
        <v>316</v>
      </c>
      <c r="B123" s="9">
        <v>1.32</v>
      </c>
      <c r="C123">
        <v>1.57</v>
      </c>
      <c r="D123">
        <v>0</v>
      </c>
      <c r="E123" s="9">
        <v>0.17</v>
      </c>
      <c r="F123">
        <v>-4</v>
      </c>
      <c r="G123" s="9">
        <f t="shared" si="17"/>
        <v>1.1894857474743241</v>
      </c>
      <c r="H123" s="6">
        <f>10^G123*FFREE</f>
        <v>5.914792012653057E-06</v>
      </c>
      <c r="I123" s="9"/>
      <c r="J123" s="8">
        <f t="shared" si="16"/>
        <v>0.0005281463945634698</v>
      </c>
    </row>
    <row r="124" spans="1:10" ht="12">
      <c r="A124" s="2" t="s">
        <v>317</v>
      </c>
      <c r="B124" s="9">
        <v>0.66</v>
      </c>
      <c r="C124">
        <v>1.57</v>
      </c>
      <c r="D124">
        <v>0</v>
      </c>
      <c r="E124" s="9">
        <v>0.17</v>
      </c>
      <c r="F124">
        <v>-4</v>
      </c>
      <c r="G124" s="9">
        <f t="shared" si="17"/>
        <v>0.5294857474743241</v>
      </c>
      <c r="H124" s="6">
        <f>10^G124*CLFREE</f>
        <v>0.010551690897171949</v>
      </c>
      <c r="I124" s="9"/>
      <c r="J124" s="8">
        <f t="shared" si="16"/>
        <v>0.9421865539765402</v>
      </c>
    </row>
    <row r="125" spans="1:10" ht="12">
      <c r="A125" s="2" t="s">
        <v>319</v>
      </c>
      <c r="B125" s="9">
        <v>2.26</v>
      </c>
      <c r="C125">
        <v>1.63</v>
      </c>
      <c r="D125">
        <v>0</v>
      </c>
      <c r="E125" s="9">
        <v>0.05</v>
      </c>
      <c r="F125">
        <v>-8</v>
      </c>
      <c r="G125" s="9">
        <f t="shared" si="17"/>
        <v>1.998498772103412</v>
      </c>
      <c r="H125" s="6">
        <f>10^G125*SO4FREE</f>
        <v>0.015320841446769581</v>
      </c>
      <c r="I125" s="9"/>
      <c r="J125" s="8">
        <f t="shared" si="16"/>
        <v>1.3680357913651222</v>
      </c>
    </row>
    <row r="126" spans="1:10" ht="12">
      <c r="A126" s="2" t="s">
        <v>322</v>
      </c>
      <c r="B126" s="9">
        <v>4.1</v>
      </c>
      <c r="C126">
        <v>1.63</v>
      </c>
      <c r="D126">
        <v>0</v>
      </c>
      <c r="E126" s="9">
        <v>0.05</v>
      </c>
      <c r="F126">
        <v>-8</v>
      </c>
      <c r="G126" s="9">
        <f t="shared" si="17"/>
        <v>3.838498772103412</v>
      </c>
      <c r="H126" s="6">
        <f>10^G126*CO3FREE</f>
        <v>0.09179017392485078</v>
      </c>
      <c r="I126" s="9">
        <f>LOG10(SUM(H118:H126))</f>
        <v>0.049185158343046674</v>
      </c>
      <c r="J126" s="8">
        <f t="shared" si="16"/>
        <v>8.196171447965902</v>
      </c>
    </row>
    <row r="127" ht="12">
      <c r="A127" s="2" t="s">
        <v>59</v>
      </c>
    </row>
    <row r="128" spans="1:10" ht="12">
      <c r="A128" s="2" t="s">
        <v>326</v>
      </c>
      <c r="H128">
        <v>1</v>
      </c>
      <c r="J128" s="8">
        <f>100*H128/10^$I$130</f>
        <v>99.96770897236048</v>
      </c>
    </row>
    <row r="129" spans="1:10" ht="12">
      <c r="A129" s="2" t="s">
        <v>328</v>
      </c>
      <c r="B129">
        <v>4.65</v>
      </c>
      <c r="C129">
        <v>1</v>
      </c>
      <c r="D129">
        <v>0</v>
      </c>
      <c r="E129">
        <v>0.18</v>
      </c>
      <c r="F129">
        <v>-4</v>
      </c>
      <c r="G129" s="9">
        <f>B129+0.511*F129*IEFF^0.5/(1+C129*IEFF^0.5)+E129*IEFF+D129*IEFF^2</f>
        <v>4.5145401524253135</v>
      </c>
      <c r="H129" s="6">
        <f>10^G129*HFREE</f>
        <v>0.00032293751615572686</v>
      </c>
      <c r="J129" s="8">
        <f>100*H129/10^$I$130</f>
        <v>0.032283323631312665</v>
      </c>
    </row>
    <row r="130" spans="1:10" ht="12">
      <c r="A130" s="2" t="s">
        <v>330</v>
      </c>
      <c r="B130">
        <v>9.17</v>
      </c>
      <c r="C130">
        <v>1</v>
      </c>
      <c r="D130">
        <v>0</v>
      </c>
      <c r="E130">
        <v>0.09</v>
      </c>
      <c r="F130">
        <v>-8</v>
      </c>
      <c r="G130" s="9">
        <f>B130+0.511*F130*IEFF^0.5/(1+C130*IEFF^0.5)+E130*IEFF+D130*IEFF^2</f>
        <v>8.897700300737537</v>
      </c>
      <c r="H130" s="6">
        <f>10^G130*HFREE^2</f>
        <v>7.70649670609238E-08</v>
      </c>
      <c r="I130" s="9">
        <f>LOG10(SUM(H128:H130))</f>
        <v>0.00014026079823379153</v>
      </c>
      <c r="J130" s="8">
        <f>100*H130/10^$I$130</f>
        <v>7.704008199110979E-06</v>
      </c>
    </row>
    <row r="131" ht="12">
      <c r="A131" s="2" t="s">
        <v>332</v>
      </c>
    </row>
    <row r="132" spans="1:10" ht="12">
      <c r="A132" s="2" t="s">
        <v>335</v>
      </c>
      <c r="B132" s="9"/>
      <c r="E132" s="9"/>
      <c r="G132" s="9"/>
      <c r="H132">
        <v>1</v>
      </c>
      <c r="I132" s="9"/>
      <c r="J132" s="8">
        <f aca="true" t="shared" si="18" ref="J132:J141">100*H132/10^$I$141</f>
        <v>36.35222547025114</v>
      </c>
    </row>
    <row r="133" spans="1:10" ht="12">
      <c r="A133" s="2" t="s">
        <v>337</v>
      </c>
      <c r="B133" s="9">
        <v>-9.86</v>
      </c>
      <c r="C133">
        <v>2.02</v>
      </c>
      <c r="D133">
        <v>0</v>
      </c>
      <c r="E133" s="9">
        <v>-0.03</v>
      </c>
      <c r="F133">
        <v>-2</v>
      </c>
      <c r="G133" s="9">
        <f aca="true" t="shared" si="19" ref="G133:G141">B133+0.511*F133*IEFF^0.5/(1+C133*IEFF^0.5)+E133*IEFF+D133*IEFF^2</f>
        <v>-9.923998201890914</v>
      </c>
      <c r="H133" s="6">
        <f>10^G133/HFREE</f>
        <v>0.012062114589142187</v>
      </c>
      <c r="I133" s="9"/>
      <c r="J133" s="8">
        <f t="shared" si="18"/>
        <v>0.4384847091925025</v>
      </c>
    </row>
    <row r="134" spans="1:10" ht="12">
      <c r="A134" s="2" t="s">
        <v>339</v>
      </c>
      <c r="B134" s="9">
        <v>-19</v>
      </c>
      <c r="C134">
        <v>2.01</v>
      </c>
      <c r="D134">
        <v>0</v>
      </c>
      <c r="E134" s="9">
        <v>-0.12</v>
      </c>
      <c r="F134">
        <v>-2</v>
      </c>
      <c r="G134" s="9">
        <f t="shared" si="19"/>
        <v>-19.064498112412405</v>
      </c>
      <c r="H134" s="6">
        <f>10^G134/HFREE^2</f>
        <v>0.0008837820797118353</v>
      </c>
      <c r="I134" s="9"/>
      <c r="J134" s="8">
        <f t="shared" si="18"/>
        <v>0.0321274454282521</v>
      </c>
    </row>
    <row r="135" spans="1:10" ht="12">
      <c r="A135" s="2" t="s">
        <v>341</v>
      </c>
      <c r="B135" s="9">
        <v>-30</v>
      </c>
      <c r="C135">
        <v>0</v>
      </c>
      <c r="D135">
        <v>-0.07</v>
      </c>
      <c r="E135" s="9">
        <v>-0.09</v>
      </c>
      <c r="F135">
        <v>0</v>
      </c>
      <c r="G135" s="9">
        <f t="shared" si="19"/>
        <v>-30.00046183002391</v>
      </c>
      <c r="H135" s="6">
        <f>10^G135/HFREE^3</f>
        <v>1.0370581894946129E-06</v>
      </c>
      <c r="I135" s="9"/>
      <c r="J135" s="8">
        <f t="shared" si="18"/>
        <v>3.76993731302786E-05</v>
      </c>
    </row>
    <row r="136" spans="1:10" ht="12">
      <c r="A136" s="2" t="s">
        <v>346</v>
      </c>
      <c r="B136" s="9">
        <v>-44</v>
      </c>
      <c r="C136">
        <v>1</v>
      </c>
      <c r="D136">
        <v>0</v>
      </c>
      <c r="E136" s="9">
        <v>-0.34</v>
      </c>
      <c r="F136">
        <v>4</v>
      </c>
      <c r="G136" s="9">
        <f t="shared" si="19"/>
        <v>-43.86535793264047</v>
      </c>
      <c r="H136" s="6">
        <f>10^G136/HFREE^4</f>
        <v>1.4332721910731059E-12</v>
      </c>
      <c r="I136" s="9"/>
      <c r="J136" s="8">
        <f t="shared" si="18"/>
        <v>5.2102633850130417E-11</v>
      </c>
    </row>
    <row r="137" spans="1:10" ht="12">
      <c r="A137" s="2" t="s">
        <v>348</v>
      </c>
      <c r="B137" s="9">
        <v>1.12</v>
      </c>
      <c r="C137">
        <v>1.57</v>
      </c>
      <c r="D137">
        <v>0</v>
      </c>
      <c r="E137" s="9">
        <v>0.17</v>
      </c>
      <c r="F137">
        <v>-4</v>
      </c>
      <c r="G137" s="9">
        <f t="shared" si="19"/>
        <v>0.9894857474743242</v>
      </c>
      <c r="H137" s="6">
        <f>10^G137*FFREE</f>
        <v>3.7319814614562314E-06</v>
      </c>
      <c r="I137" s="9"/>
      <c r="J137" s="8">
        <f t="shared" si="18"/>
        <v>0.00013566583153765428</v>
      </c>
    </row>
    <row r="138" spans="1:10" ht="12">
      <c r="A138" s="2" t="s">
        <v>349</v>
      </c>
      <c r="B138" s="9">
        <v>0.72</v>
      </c>
      <c r="C138">
        <v>1.57</v>
      </c>
      <c r="D138">
        <v>0</v>
      </c>
      <c r="E138" s="9">
        <v>0.17</v>
      </c>
      <c r="F138">
        <v>-4</v>
      </c>
      <c r="G138" s="9">
        <f t="shared" si="19"/>
        <v>0.589485747474324</v>
      </c>
      <c r="H138" s="6">
        <f>10^G138*CLFREE</f>
        <v>0.012114962116503663</v>
      </c>
      <c r="I138" s="9"/>
      <c r="J138" s="8">
        <f t="shared" si="18"/>
        <v>0.4404058344226921</v>
      </c>
    </row>
    <row r="139" spans="1:10" ht="12">
      <c r="A139" s="2" t="s">
        <v>350</v>
      </c>
      <c r="B139" s="9">
        <v>2.29</v>
      </c>
      <c r="C139">
        <v>1.9</v>
      </c>
      <c r="D139">
        <v>0</v>
      </c>
      <c r="E139" s="9">
        <v>-0.06</v>
      </c>
      <c r="F139">
        <v>-8</v>
      </c>
      <c r="G139" s="9">
        <f t="shared" si="19"/>
        <v>2.0323849575605903</v>
      </c>
      <c r="H139" s="6">
        <f>10^G139*SO4FREE</f>
        <v>0.016564136609450265</v>
      </c>
      <c r="I139" s="9"/>
      <c r="J139" s="8">
        <f t="shared" si="18"/>
        <v>0.6021432287467772</v>
      </c>
    </row>
    <row r="140" spans="1:10" ht="12">
      <c r="A140" s="2" t="s">
        <v>352</v>
      </c>
      <c r="B140" s="9">
        <v>3.2</v>
      </c>
      <c r="C140">
        <v>1.61</v>
      </c>
      <c r="D140">
        <v>0</v>
      </c>
      <c r="E140" s="9">
        <v>-0.22</v>
      </c>
      <c r="F140">
        <v>-8</v>
      </c>
      <c r="G140" s="9">
        <f t="shared" si="19"/>
        <v>2.9367831296846205</v>
      </c>
      <c r="H140" s="6">
        <f>10^G140*SO4FREE^2</f>
        <v>2.0433879207433355E-05</v>
      </c>
      <c r="I140" s="9"/>
      <c r="J140" s="8">
        <f t="shared" si="18"/>
        <v>0.0007428169841804939</v>
      </c>
    </row>
    <row r="141" spans="1:10" ht="12">
      <c r="A141" s="2" t="s">
        <v>354</v>
      </c>
      <c r="B141" s="9">
        <v>5.37</v>
      </c>
      <c r="C141">
        <v>1.63</v>
      </c>
      <c r="D141">
        <v>0</v>
      </c>
      <c r="E141" s="9">
        <v>0.05</v>
      </c>
      <c r="F141">
        <v>-8</v>
      </c>
      <c r="G141" s="9">
        <f t="shared" si="19"/>
        <v>5.108498772103412</v>
      </c>
      <c r="H141" s="6">
        <f>10^G141*CO3FREE</f>
        <v>1.7092130213751233</v>
      </c>
      <c r="I141" s="9">
        <f>LOG10(SUM(H132:H141))</f>
        <v>0.43946899663810907</v>
      </c>
      <c r="J141" s="8">
        <f t="shared" si="18"/>
        <v>62.13369712971766</v>
      </c>
    </row>
    <row r="142" ht="12">
      <c r="A142" s="2" t="s">
        <v>59</v>
      </c>
    </row>
    <row r="143" spans="1:10" ht="12">
      <c r="A143" s="2" t="s">
        <v>356</v>
      </c>
      <c r="H143">
        <v>1</v>
      </c>
      <c r="J143" s="8">
        <f aca="true" t="shared" si="20" ref="J143:J150">100*H143/10^$I$150</f>
        <v>1.3280962281668028E-05</v>
      </c>
    </row>
    <row r="144" spans="1:11" ht="12">
      <c r="A144" s="2" t="s">
        <v>357</v>
      </c>
      <c r="B144" s="9"/>
      <c r="E144" s="9"/>
      <c r="G144" s="9">
        <v>-2.3</v>
      </c>
      <c r="H144" s="6">
        <f>10^G144/HFREE</f>
        <v>507483.179091123</v>
      </c>
      <c r="J144" s="8">
        <f t="shared" si="20"/>
        <v>6.739864960090185</v>
      </c>
      <c r="K144" s="2" t="s">
        <v>358</v>
      </c>
    </row>
    <row r="145" spans="1:11" ht="12">
      <c r="A145" s="2" t="s">
        <v>359</v>
      </c>
      <c r="B145" s="9">
        <v>-9.1</v>
      </c>
      <c r="C145">
        <v>2.01</v>
      </c>
      <c r="D145">
        <v>0</v>
      </c>
      <c r="E145" s="9">
        <v>-0.12</v>
      </c>
      <c r="F145">
        <v>-2</v>
      </c>
      <c r="G145" s="9">
        <f>B145+0.511*F145*IEFF^0.5/(1+C145*IEFF^0.5)+E145*IEFF+D145*IEFF^2</f>
        <v>-9.164498112412407</v>
      </c>
      <c r="H145" s="6">
        <f>10^G145/HFREE^2</f>
        <v>7020130.592584548</v>
      </c>
      <c r="J145" s="8">
        <f t="shared" si="20"/>
        <v>93.2340896124992</v>
      </c>
      <c r="K145" s="2" t="s">
        <v>360</v>
      </c>
    </row>
    <row r="146" spans="1:11" ht="12">
      <c r="A146" s="2" t="s">
        <v>361</v>
      </c>
      <c r="B146" s="9">
        <v>-21.1</v>
      </c>
      <c r="C146">
        <v>0</v>
      </c>
      <c r="D146">
        <v>-0.07</v>
      </c>
      <c r="E146" s="9">
        <v>-0.09</v>
      </c>
      <c r="F146">
        <v>0</v>
      </c>
      <c r="G146" s="9">
        <f>B146+0.511*F146*IEFF^0.5/(1+C146*IEFF^0.5)+E146*IEFF+D146*IEFF^2</f>
        <v>-21.10046183002391</v>
      </c>
      <c r="H146" s="6">
        <f>10^G146/HFREE^3</f>
        <v>823.7646009676095</v>
      </c>
      <c r="J146" s="8">
        <f t="shared" si="20"/>
        <v>0.010940386594424135</v>
      </c>
      <c r="K146" s="2" t="s">
        <v>360</v>
      </c>
    </row>
    <row r="147" spans="1:11" ht="12">
      <c r="A147" s="2" t="s">
        <v>362</v>
      </c>
      <c r="G147">
        <v>4.47</v>
      </c>
      <c r="H147" s="6">
        <f>10^G147*CLFREE</f>
        <v>92.010271661096</v>
      </c>
      <c r="J147" s="8">
        <f t="shared" si="20"/>
        <v>0.0012219849474570444</v>
      </c>
      <c r="K147" s="2" t="s">
        <v>363</v>
      </c>
    </row>
    <row r="148" spans="1:11" ht="12">
      <c r="A148" s="2" t="s">
        <v>364</v>
      </c>
      <c r="G148">
        <v>7.74</v>
      </c>
      <c r="H148" s="6">
        <f>10^G148*CLFREE^2</f>
        <v>534.161553057236</v>
      </c>
      <c r="J148" s="8">
        <f t="shared" si="20"/>
        <v>0.007094179438470367</v>
      </c>
      <c r="K148" s="2" t="s">
        <v>363</v>
      </c>
    </row>
    <row r="149" spans="1:11" ht="12">
      <c r="A149" s="2" t="s">
        <v>365</v>
      </c>
      <c r="G149">
        <v>10.2</v>
      </c>
      <c r="H149" s="6">
        <f>10^G149*CLFREE^3</f>
        <v>480.29596585202444</v>
      </c>
      <c r="J149" s="8">
        <f t="shared" si="20"/>
        <v>0.006378792606518051</v>
      </c>
      <c r="K149" s="2" t="s">
        <v>363</v>
      </c>
    </row>
    <row r="150" spans="1:11" ht="12">
      <c r="A150" s="2" t="s">
        <v>366</v>
      </c>
      <c r="G150">
        <v>11.5</v>
      </c>
      <c r="H150" s="6">
        <f>10^G150*CLFREE^4</f>
        <v>29.877568573931793</v>
      </c>
      <c r="I150" s="9">
        <f>LOG10(SUM(H143:H150))</f>
        <v>6.876770456709116</v>
      </c>
      <c r="J150" s="8">
        <f t="shared" si="20"/>
        <v>0.0003968028612983382</v>
      </c>
      <c r="K150" s="1" t="s">
        <v>363</v>
      </c>
    </row>
    <row r="152" ht="12">
      <c r="A152" s="2" t="s">
        <v>59</v>
      </c>
    </row>
    <row r="153" spans="1:10" ht="12">
      <c r="A153" s="2" t="s">
        <v>368</v>
      </c>
      <c r="B153" s="9"/>
      <c r="E153" s="9"/>
      <c r="H153">
        <v>1</v>
      </c>
      <c r="J153" s="8">
        <f aca="true" t="shared" si="21" ref="J153:J166">100*H153/10^$I$166</f>
        <v>1.2846997300014136</v>
      </c>
    </row>
    <row r="154" spans="1:10" ht="12">
      <c r="A154" s="2" t="s">
        <v>369</v>
      </c>
      <c r="B154" s="9">
        <v>-7.71</v>
      </c>
      <c r="C154">
        <v>17.71</v>
      </c>
      <c r="D154">
        <v>0</v>
      </c>
      <c r="E154" s="9">
        <v>-0.02</v>
      </c>
      <c r="F154">
        <v>-2</v>
      </c>
      <c r="G154" s="9">
        <f aca="true" t="shared" si="22" ref="G154:G166">B154+0.511*F154*IEFF^0.5/(1+C154*IEFF^0.5)+E154*IEFF+D154*IEFF^2</f>
        <v>-7.742344460768423</v>
      </c>
      <c r="H154" s="6">
        <f>10^G154/HFREE</f>
        <v>1.8326401249371336</v>
      </c>
      <c r="J154" s="8">
        <f t="shared" si="21"/>
        <v>2.3543922736964924</v>
      </c>
    </row>
    <row r="155" spans="1:10" ht="12">
      <c r="A155" s="2" t="s">
        <v>370</v>
      </c>
      <c r="B155" s="9">
        <v>-17.12</v>
      </c>
      <c r="C155">
        <v>35.73</v>
      </c>
      <c r="D155">
        <v>0</v>
      </c>
      <c r="E155" s="9">
        <v>-0.09</v>
      </c>
      <c r="F155">
        <v>-2</v>
      </c>
      <c r="G155" s="9">
        <f t="shared" si="22"/>
        <v>-17.141016122372882</v>
      </c>
      <c r="H155" s="6">
        <f>10^G155/HFREE^2</f>
        <v>0.07410153104836513</v>
      </c>
      <c r="J155" s="8">
        <f t="shared" si="21"/>
        <v>0.09519821693052605</v>
      </c>
    </row>
    <row r="156" spans="1:10" ht="12">
      <c r="A156" s="2" t="s">
        <v>372</v>
      </c>
      <c r="B156" s="9">
        <v>-28.06</v>
      </c>
      <c r="C156">
        <v>0</v>
      </c>
      <c r="D156">
        <v>-0.22</v>
      </c>
      <c r="E156" s="9">
        <v>0.51</v>
      </c>
      <c r="F156">
        <v>0</v>
      </c>
      <c r="G156" s="9">
        <f t="shared" si="22"/>
        <v>-28.057399072758916</v>
      </c>
      <c r="H156" s="6">
        <f>10^G156/HFREE^3</f>
        <v>9.096323197205142E-05</v>
      </c>
      <c r="J156" s="8">
        <f t="shared" si="21"/>
        <v>0.00011686043955455042</v>
      </c>
    </row>
    <row r="157" spans="1:10" ht="12">
      <c r="A157" s="2" t="s">
        <v>373</v>
      </c>
      <c r="B157" s="9">
        <v>2.06</v>
      </c>
      <c r="C157">
        <v>1.57</v>
      </c>
      <c r="D157">
        <v>0</v>
      </c>
      <c r="E157" s="9">
        <v>0.17</v>
      </c>
      <c r="F157">
        <v>-4</v>
      </c>
      <c r="G157" s="9">
        <f t="shared" si="22"/>
        <v>1.929485747474324</v>
      </c>
      <c r="H157" s="6">
        <f>10^G157*FFREE</f>
        <v>3.2504199713194596E-05</v>
      </c>
      <c r="J157" s="8">
        <f t="shared" si="21"/>
        <v>4.1758136595453124E-05</v>
      </c>
    </row>
    <row r="158" spans="1:10" ht="12">
      <c r="A158" s="2" t="s">
        <v>374</v>
      </c>
      <c r="B158" s="9">
        <v>3.42</v>
      </c>
      <c r="C158">
        <v>1.52</v>
      </c>
      <c r="D158">
        <v>0</v>
      </c>
      <c r="E158" s="9">
        <v>0.34</v>
      </c>
      <c r="F158">
        <v>-6</v>
      </c>
      <c r="G158" s="9">
        <f t="shared" si="22"/>
        <v>3.2240276516216246</v>
      </c>
      <c r="H158" s="6">
        <f>10^G158*FFREE^2</f>
        <v>2.448697355050181E-10</v>
      </c>
      <c r="J158" s="8">
        <f t="shared" si="21"/>
        <v>3.145840830888143E-10</v>
      </c>
    </row>
    <row r="159" spans="1:10" ht="12">
      <c r="A159" s="2" t="s">
        <v>375</v>
      </c>
      <c r="B159" s="9">
        <v>1.58</v>
      </c>
      <c r="C159">
        <v>1.29</v>
      </c>
      <c r="D159">
        <v>0</v>
      </c>
      <c r="E159" s="9">
        <v>0.22</v>
      </c>
      <c r="F159">
        <v>-4</v>
      </c>
      <c r="G159" s="9">
        <f t="shared" si="22"/>
        <v>1.447333373381108</v>
      </c>
      <c r="H159" s="6">
        <f>10^G159*CLFREE</f>
        <v>0.08733125199981945</v>
      </c>
      <c r="J159" s="8">
        <f t="shared" si="21"/>
        <v>0.11219443586485346</v>
      </c>
    </row>
    <row r="160" spans="1:10" ht="12">
      <c r="A160" s="2" t="s">
        <v>376</v>
      </c>
      <c r="B160" s="9">
        <v>1.82</v>
      </c>
      <c r="C160">
        <v>2.9</v>
      </c>
      <c r="D160">
        <v>0</v>
      </c>
      <c r="E160" s="9">
        <v>0.26</v>
      </c>
      <c r="F160">
        <v>-6</v>
      </c>
      <c r="G160" s="9">
        <f t="shared" si="22"/>
        <v>1.639775039990466</v>
      </c>
      <c r="H160" s="6">
        <f>10^G160*CLFREE^2</f>
        <v>0.0004240798776434759</v>
      </c>
      <c r="J160" s="8">
        <f t="shared" si="21"/>
        <v>0.0005448153043076061</v>
      </c>
    </row>
    <row r="161" spans="1:10" ht="12">
      <c r="A161" s="2" t="s">
        <v>377</v>
      </c>
      <c r="B161" s="9">
        <v>1.71</v>
      </c>
      <c r="C161">
        <v>3.13</v>
      </c>
      <c r="D161">
        <v>0</v>
      </c>
      <c r="E161" s="9">
        <v>0.35</v>
      </c>
      <c r="F161">
        <v>-6</v>
      </c>
      <c r="G161" s="9">
        <f t="shared" si="22"/>
        <v>1.5326744899413658</v>
      </c>
      <c r="H161" s="6">
        <f>10^G161*CLFREE^3</f>
        <v>1.033197695498294E-06</v>
      </c>
      <c r="J161" s="8">
        <f t="shared" si="21"/>
        <v>1.327348800444741E-06</v>
      </c>
    </row>
    <row r="162" spans="1:10" ht="12">
      <c r="A162" s="2" t="s">
        <v>378</v>
      </c>
      <c r="B162" s="9">
        <v>1.4</v>
      </c>
      <c r="C162">
        <v>3.65</v>
      </c>
      <c r="D162">
        <v>0</v>
      </c>
      <c r="E162" s="9">
        <v>0.47</v>
      </c>
      <c r="F162">
        <v>-4</v>
      </c>
      <c r="G162" s="9">
        <f t="shared" si="22"/>
        <v>1.2865131262007232</v>
      </c>
      <c r="H162" s="6">
        <f>10^G162*CLFREE^4</f>
        <v>1.8275041760797964E-09</v>
      </c>
      <c r="J162" s="8">
        <f t="shared" si="21"/>
        <v>2.3477941215861705E-09</v>
      </c>
    </row>
    <row r="163" spans="1:12" ht="12">
      <c r="A163" s="2" t="s">
        <v>379</v>
      </c>
      <c r="B163" s="9">
        <v>2.75</v>
      </c>
      <c r="C163">
        <v>1.63</v>
      </c>
      <c r="D163">
        <v>0</v>
      </c>
      <c r="E163" s="9">
        <v>0.05</v>
      </c>
      <c r="F163">
        <v>-8</v>
      </c>
      <c r="G163" s="9">
        <f t="shared" si="22"/>
        <v>2.488498772103412</v>
      </c>
      <c r="H163" s="6">
        <f>10^G163*SO4FREE</f>
        <v>0.047345926345216977</v>
      </c>
      <c r="J163" s="8">
        <f t="shared" si="21"/>
        <v>0.06082529879236706</v>
      </c>
      <c r="L163" t="s">
        <v>380</v>
      </c>
    </row>
    <row r="164" spans="1:12" ht="12">
      <c r="A164" s="2" t="s">
        <v>381</v>
      </c>
      <c r="B164" s="9">
        <v>4.51</v>
      </c>
      <c r="C164">
        <v>1.61</v>
      </c>
      <c r="D164">
        <v>0</v>
      </c>
      <c r="E164" s="9">
        <v>-0.22</v>
      </c>
      <c r="F164">
        <v>-8</v>
      </c>
      <c r="G164" s="9">
        <f t="shared" si="22"/>
        <v>4.24678312968462</v>
      </c>
      <c r="H164" s="6">
        <f>10^G164*SO4FREE^2</f>
        <v>0.00041720626534610364</v>
      </c>
      <c r="J164" s="8">
        <f t="shared" si="21"/>
        <v>0.0005359847764450375</v>
      </c>
      <c r="L164" s="24">
        <f>10^I166</f>
        <v>77.83920060440113</v>
      </c>
    </row>
    <row r="165" spans="1:12" ht="12">
      <c r="A165" s="2" t="s">
        <v>382</v>
      </c>
      <c r="B165" s="9">
        <v>7</v>
      </c>
      <c r="C165">
        <v>1.63</v>
      </c>
      <c r="D165">
        <v>0</v>
      </c>
      <c r="E165" s="9">
        <v>0.05</v>
      </c>
      <c r="F165">
        <v>-8</v>
      </c>
      <c r="G165" s="9">
        <f t="shared" si="22"/>
        <v>6.738498772103412</v>
      </c>
      <c r="H165" s="6">
        <f>10^G165*CO3FREE</f>
        <v>72.91152681876167</v>
      </c>
      <c r="J165" s="8">
        <f t="shared" si="21"/>
        <v>93.66941881805394</v>
      </c>
      <c r="L165" s="2" t="s">
        <v>383</v>
      </c>
    </row>
    <row r="166" spans="1:12" ht="12">
      <c r="A166" s="2" t="s">
        <v>386</v>
      </c>
      <c r="B166" s="9">
        <v>10.29</v>
      </c>
      <c r="C166">
        <v>1.61</v>
      </c>
      <c r="D166">
        <v>0</v>
      </c>
      <c r="E166" s="9">
        <v>-0.22</v>
      </c>
      <c r="F166">
        <v>-8</v>
      </c>
      <c r="G166" s="9">
        <f t="shared" si="22"/>
        <v>10.026783129684619</v>
      </c>
      <c r="H166" s="6">
        <f>10^G166*CO3FREE^2</f>
        <v>1.8852891624641144</v>
      </c>
      <c r="I166" s="9">
        <f>LOG10(SUM(H153:H166))</f>
        <v>1.891198367151352</v>
      </c>
      <c r="J166" s="8">
        <f t="shared" si="21"/>
        <v>2.4220304779922386</v>
      </c>
      <c r="L166" s="2" t="s">
        <v>383</v>
      </c>
    </row>
    <row r="167" ht="12">
      <c r="A167" s="2" t="s">
        <v>59</v>
      </c>
    </row>
    <row r="168" spans="1:10" ht="12">
      <c r="A168" s="2" t="s">
        <v>389</v>
      </c>
      <c r="H168">
        <v>1</v>
      </c>
      <c r="J168" s="8">
        <f aca="true" t="shared" si="23" ref="J168:J175">100*H168/10^$I$175</f>
        <v>1.6224555924838093E-16</v>
      </c>
    </row>
    <row r="169" spans="1:11" ht="12">
      <c r="A169" s="2" t="s">
        <v>392</v>
      </c>
      <c r="B169">
        <v>1.8</v>
      </c>
      <c r="C169">
        <v>35.73</v>
      </c>
      <c r="D169">
        <v>0</v>
      </c>
      <c r="E169" s="9">
        <v>-0.09</v>
      </c>
      <c r="F169">
        <v>-2</v>
      </c>
      <c r="G169" s="9">
        <f>B169+0.511*F169*IEFF^0.5/(1+C169*IEFF^0.5)+E169*IEFF+D169*IEFF^2</f>
        <v>1.7789838776271218</v>
      </c>
      <c r="H169" s="6">
        <f>10^G169/HFREE^2</f>
        <v>6.163496890927075E+17</v>
      </c>
      <c r="J169" s="8">
        <f t="shared" si="23"/>
        <v>99.99999999941203</v>
      </c>
      <c r="K169" s="2" t="s">
        <v>393</v>
      </c>
    </row>
    <row r="170" spans="1:11" ht="12">
      <c r="A170" s="2" t="s">
        <v>395</v>
      </c>
      <c r="G170" s="8">
        <v>5</v>
      </c>
      <c r="H170" s="6">
        <f>10^G170*CLFREE</f>
        <v>311.7714285714286</v>
      </c>
      <c r="J170" s="8">
        <f t="shared" si="23"/>
        <v>5.058352978623808E-14</v>
      </c>
      <c r="K170" s="2" t="s">
        <v>396</v>
      </c>
    </row>
    <row r="171" spans="1:11" ht="12">
      <c r="A171" s="2" t="s">
        <v>397</v>
      </c>
      <c r="G171" s="8">
        <v>9</v>
      </c>
      <c r="H171" s="6">
        <f>10^G171*CLFREE^2</f>
        <v>9720.14236734694</v>
      </c>
      <c r="J171" s="8">
        <f t="shared" si="23"/>
        <v>1.5770499343640856E-12</v>
      </c>
      <c r="K171" s="2" t="s">
        <v>396</v>
      </c>
    </row>
    <row r="172" spans="1:11" ht="12">
      <c r="A172" s="2" t="s">
        <v>398</v>
      </c>
      <c r="G172" s="8">
        <v>11.8</v>
      </c>
      <c r="H172" s="6">
        <f>10^G172*CLFREE^3</f>
        <v>19120.926799360903</v>
      </c>
      <c r="J172" s="8">
        <f t="shared" si="23"/>
        <v>3.102285461909664E-12</v>
      </c>
      <c r="K172" s="2" t="s">
        <v>396</v>
      </c>
    </row>
    <row r="173" spans="1:11" ht="12">
      <c r="A173" s="2" t="s">
        <v>399</v>
      </c>
      <c r="G173" s="8">
        <v>13.8</v>
      </c>
      <c r="H173" s="6">
        <f>10^G173*CLFREE^4</f>
        <v>5961.358663846455</v>
      </c>
      <c r="J173" s="8">
        <f t="shared" si="23"/>
        <v>9.672039702959489E-13</v>
      </c>
      <c r="K173" s="2" t="s">
        <v>396</v>
      </c>
    </row>
    <row r="174" spans="1:11" ht="12">
      <c r="A174" s="2" t="s">
        <v>400</v>
      </c>
      <c r="G174">
        <v>19.08</v>
      </c>
      <c r="H174" s="6">
        <f>10^G174*CLFREE^3/K*H/HFREE</f>
        <v>424066.45224823453</v>
      </c>
      <c r="J174" s="8">
        <f t="shared" si="23"/>
        <v>6.880289870349164E-11</v>
      </c>
      <c r="K174" s="2" t="s">
        <v>401</v>
      </c>
    </row>
    <row r="175" spans="1:11" ht="12">
      <c r="A175" s="2" t="s">
        <v>402</v>
      </c>
      <c r="G175">
        <v>23.38</v>
      </c>
      <c r="H175" s="6">
        <f>10^G175*CLFREE^2/(K*H*HFREE)^2</f>
        <v>3158803.29247122</v>
      </c>
      <c r="I175" s="9">
        <f>LOG10(SUM(H168:H175))</f>
        <v>17.78982718124757</v>
      </c>
      <c r="J175" s="8">
        <f t="shared" si="23"/>
        <v>5.125018067426201E-10</v>
      </c>
      <c r="K175" s="2" t="s">
        <v>401</v>
      </c>
    </row>
    <row r="176" ht="12">
      <c r="A176" s="2" t="s">
        <v>59</v>
      </c>
    </row>
    <row r="177" spans="1:10" ht="12">
      <c r="A177" s="2" t="s">
        <v>403</v>
      </c>
      <c r="H177">
        <v>1</v>
      </c>
      <c r="J177" s="8">
        <f>100*H177/10^$I$178</f>
        <v>99.99999999993034</v>
      </c>
    </row>
    <row r="178" spans="1:11" ht="12">
      <c r="A178" s="2" t="s">
        <v>404</v>
      </c>
      <c r="G178">
        <v>2.88</v>
      </c>
      <c r="H178" s="20">
        <f>10^G178*CLFREE^6</f>
        <v>6.966551913963064E-13</v>
      </c>
      <c r="I178" s="9">
        <f>LOG10(SUM(H177:H178))</f>
        <v>3.025095262576608E-13</v>
      </c>
      <c r="J178" s="8">
        <f>100*H178/10^$I$178</f>
        <v>6.966551913958211E-11</v>
      </c>
      <c r="K178" s="2" t="s">
        <v>405</v>
      </c>
    </row>
    <row r="180" ht="12">
      <c r="A180" s="2" t="s">
        <v>59</v>
      </c>
    </row>
    <row r="181" spans="1:10" ht="12">
      <c r="A181" s="2" t="s">
        <v>406</v>
      </c>
      <c r="B181" s="9"/>
      <c r="E181" s="9"/>
      <c r="H181">
        <v>1</v>
      </c>
      <c r="J181" s="8">
        <f>100*H181/10^$I$183</f>
        <v>99.98211173392399</v>
      </c>
    </row>
    <row r="182" spans="1:10" ht="12">
      <c r="A182" s="2" t="s">
        <v>407</v>
      </c>
      <c r="B182" s="9">
        <v>1.41</v>
      </c>
      <c r="C182">
        <v>1</v>
      </c>
      <c r="D182">
        <v>0</v>
      </c>
      <c r="E182" s="9">
        <v>0.3</v>
      </c>
      <c r="F182">
        <v>0</v>
      </c>
      <c r="G182" s="9">
        <f>B182+0.511*F182*IEFF^0.5/(1+C182*IEFF^0.5)+E182*IEFF+D182*IEFF^2</f>
        <v>1.411533337903433</v>
      </c>
      <c r="H182" s="6">
        <f>10^G182*HFREE</f>
        <v>2.547485296833076E-07</v>
      </c>
      <c r="J182" s="8">
        <f>100*H182/10^$I$183</f>
        <v>2.547029595884931E-05</v>
      </c>
    </row>
    <row r="183" spans="1:10" ht="12">
      <c r="A183" s="2" t="s">
        <v>408</v>
      </c>
      <c r="B183" s="9">
        <v>-11.82</v>
      </c>
      <c r="C183">
        <v>1</v>
      </c>
      <c r="D183">
        <v>0</v>
      </c>
      <c r="E183" s="9">
        <v>-0.31</v>
      </c>
      <c r="F183">
        <v>2</v>
      </c>
      <c r="G183" s="9">
        <f>B183+0.511*F183*IEFF^0.5/(1+C183*IEFF^0.5)+E183*IEFF+D183*IEFF^2</f>
        <v>-11.753394524008508</v>
      </c>
      <c r="H183" s="6">
        <f>10^G183/HFREE</f>
        <v>0.0001786599169620308</v>
      </c>
      <c r="I183" s="9">
        <f>LOG10(SUM(H181:H183))</f>
        <v>7.769470180100311E-05</v>
      </c>
      <c r="J183" s="8">
        <f>100*H183/10^$I$183</f>
        <v>0.017862795780071345</v>
      </c>
    </row>
    <row r="184" ht="12">
      <c r="A184" s="2" t="s">
        <v>59</v>
      </c>
    </row>
    <row r="185" spans="1:10" ht="12">
      <c r="A185" s="2" t="s">
        <v>413</v>
      </c>
      <c r="B185" s="9"/>
      <c r="E185" s="9"/>
      <c r="G185" s="9"/>
      <c r="H185">
        <v>1</v>
      </c>
      <c r="J185" s="8">
        <f>100*H185/10^$I$186</f>
        <v>0.00044470617855245847</v>
      </c>
    </row>
    <row r="186" spans="1:10" ht="12">
      <c r="A186" s="2" t="s">
        <v>416</v>
      </c>
      <c r="B186" s="9">
        <v>-2.72</v>
      </c>
      <c r="C186">
        <v>1</v>
      </c>
      <c r="D186">
        <v>0</v>
      </c>
      <c r="E186" s="9">
        <v>-0.33</v>
      </c>
      <c r="F186">
        <v>2</v>
      </c>
      <c r="G186" s="9">
        <f>B186+0.511*F186*IEFF^0.5/(1+C186*IEFF^0.5)+E186*IEFF+D186*IEFF^2</f>
        <v>-2.6534967465354034</v>
      </c>
      <c r="H186" s="6">
        <f>10^G186/HFREE</f>
        <v>224866.57509307642</v>
      </c>
      <c r="I186" s="9">
        <f>LOG10(SUM(H185:H186))</f>
        <v>5.3519268366122335</v>
      </c>
      <c r="J186" s="8">
        <f>100*H186/10^$I$186</f>
        <v>99.99955529382144</v>
      </c>
    </row>
    <row r="187" ht="12">
      <c r="A187" s="1" t="s">
        <v>59</v>
      </c>
    </row>
    <row r="188" spans="1:10" ht="12">
      <c r="A188" s="2" t="s">
        <v>421</v>
      </c>
      <c r="B188" s="9"/>
      <c r="E188" s="9"/>
      <c r="G188" s="9"/>
      <c r="H188">
        <v>1</v>
      </c>
      <c r="J188" s="8">
        <f>100*H188/10^$I$190</f>
        <v>0.0005026111789217104</v>
      </c>
    </row>
    <row r="189" spans="1:10" ht="12">
      <c r="A189" s="2" t="s">
        <v>425</v>
      </c>
      <c r="B189" s="9">
        <v>-2.87</v>
      </c>
      <c r="C189">
        <v>1.29</v>
      </c>
      <c r="D189">
        <v>0</v>
      </c>
      <c r="E189" s="9">
        <v>-0.16</v>
      </c>
      <c r="F189">
        <v>2</v>
      </c>
      <c r="G189" s="9">
        <f>B189+0.511*F189*IEFF^0.5/(1+C189*IEFF^0.5)+E189*IEFF+D189*IEFF^2</f>
        <v>-2.8039222430077926</v>
      </c>
      <c r="H189" s="6">
        <f>10^G189/HFREE</f>
        <v>159037.451886699</v>
      </c>
      <c r="J189" s="8">
        <f>100*H189/10^$I$190</f>
        <v>79.93400118547858</v>
      </c>
    </row>
    <row r="190" spans="1:10" ht="12">
      <c r="A190" s="2" t="s">
        <v>427</v>
      </c>
      <c r="B190" s="9">
        <v>-11.61</v>
      </c>
      <c r="C190">
        <v>1.24</v>
      </c>
      <c r="D190">
        <v>0</v>
      </c>
      <c r="E190" s="9">
        <v>-0.19</v>
      </c>
      <c r="F190">
        <v>6</v>
      </c>
      <c r="G190" s="9">
        <f>B190+0.511*F190*IEFF^0.5/(1+C190*IEFF^0.5)+E190*IEFF+D190*IEFF^2</f>
        <v>-11.409625543474144</v>
      </c>
      <c r="H190" s="6">
        <f>10^G190/HFREE^2</f>
        <v>39922.50281100058</v>
      </c>
      <c r="I190" s="9">
        <f>LOG10(SUM(H188:H190))</f>
        <v>5.298767856193062</v>
      </c>
      <c r="J190" s="8">
        <f>100*H190/10^$I$190</f>
        <v>20.0654962033423</v>
      </c>
    </row>
    <row r="191" ht="12">
      <c r="A191" s="2" t="s">
        <v>59</v>
      </c>
    </row>
    <row r="192" spans="1:10" ht="12">
      <c r="A192" s="2" t="s">
        <v>429</v>
      </c>
      <c r="B192" s="9"/>
      <c r="E192" s="9"/>
      <c r="G192" s="9"/>
      <c r="H192">
        <v>1</v>
      </c>
      <c r="J192" s="8">
        <f>100*H192/10^$I$193</f>
        <v>99.99996667227383</v>
      </c>
    </row>
    <row r="193" spans="1:10" ht="12">
      <c r="A193" s="2" t="s">
        <v>431</v>
      </c>
      <c r="B193" s="9">
        <v>1.66</v>
      </c>
      <c r="C193">
        <v>1.5</v>
      </c>
      <c r="D193">
        <v>0</v>
      </c>
      <c r="E193" s="9">
        <v>0.04</v>
      </c>
      <c r="F193">
        <v>-4</v>
      </c>
      <c r="G193" s="9">
        <f>B193+0.511*F193*IEFF^0.5/(1+C193*IEFF^0.5)+E193*IEFF+D193*IEFF^2</f>
        <v>1.5282274808958312</v>
      </c>
      <c r="H193" s="6">
        <f>10^G193*HFREE</f>
        <v>3.332773727845378E-07</v>
      </c>
      <c r="I193" s="9">
        <f>LOG10(SUM(H192:H193))</f>
        <v>1.4474049983541038E-07</v>
      </c>
      <c r="J193" s="8">
        <f>100*H193/10^$I$193</f>
        <v>3.332772617107676E-05</v>
      </c>
    </row>
    <row r="194" ht="12">
      <c r="A194" s="2" t="s">
        <v>59</v>
      </c>
    </row>
    <row r="195" spans="1:10" ht="12">
      <c r="A195" s="2" t="s">
        <v>434</v>
      </c>
      <c r="B195" s="9"/>
      <c r="E195" s="9"/>
      <c r="G195" s="9"/>
      <c r="H195">
        <v>1</v>
      </c>
      <c r="J195" s="8">
        <f>100*H195/10^$I$199</f>
        <v>1.9336301052498315E-05</v>
      </c>
    </row>
    <row r="196" spans="1:10" ht="12">
      <c r="A196" s="2" t="s">
        <v>439</v>
      </c>
      <c r="B196" s="9">
        <v>13.06</v>
      </c>
      <c r="C196">
        <v>1</v>
      </c>
      <c r="D196">
        <v>0</v>
      </c>
      <c r="E196" s="9">
        <v>0.33</v>
      </c>
      <c r="F196">
        <v>-4</v>
      </c>
      <c r="G196" s="9">
        <f>B196+0.511*F196*IEFF^0.5/(1+C196*IEFF^0.5)+E196*IEFF+D196*IEFF^2</f>
        <v>12.92530682137703</v>
      </c>
      <c r="H196" s="6">
        <f>10^G196*HFREE</f>
        <v>83154.38761438444</v>
      </c>
      <c r="J196" s="8">
        <f>100*H196/10^$I$199</f>
        <v>1.6078982727478748</v>
      </c>
    </row>
    <row r="197" spans="1:10" ht="12">
      <c r="A197" s="2" t="s">
        <v>442</v>
      </c>
      <c r="B197" s="9">
        <v>22.92</v>
      </c>
      <c r="C197">
        <v>1</v>
      </c>
      <c r="D197">
        <v>0</v>
      </c>
      <c r="E197" s="9">
        <v>0.39</v>
      </c>
      <c r="F197">
        <v>-6</v>
      </c>
      <c r="G197" s="9">
        <f>B197+0.511*F197*IEFF^0.5/(1+C197*IEFF^0.5)+E197*IEFF+D197*IEFF^2</f>
        <v>22.717423563799343</v>
      </c>
      <c r="H197" s="6">
        <f>10^G197*HFREE^2</f>
        <v>5088388.473757871</v>
      </c>
      <c r="I197" s="9"/>
      <c r="J197" s="8">
        <f>100*H197/10^$I$199</f>
        <v>98.39061140064463</v>
      </c>
    </row>
    <row r="198" spans="1:10" ht="12">
      <c r="A198" s="2" t="s">
        <v>445</v>
      </c>
      <c r="B198" s="9">
        <v>5.67</v>
      </c>
      <c r="C198">
        <v>1.63</v>
      </c>
      <c r="D198">
        <v>0</v>
      </c>
      <c r="E198" s="9">
        <v>0.05</v>
      </c>
      <c r="F198">
        <v>-8</v>
      </c>
      <c r="G198" s="9">
        <f>B198+0.511*F198*IEFF^0.5/(1+C198*IEFF^0.5)+E198*IEFF+D198*IEFF^2</f>
        <v>5.408498772103412</v>
      </c>
      <c r="H198" s="6">
        <f>10^G198*MGFREE</f>
        <v>74.83115939922261</v>
      </c>
      <c r="J198" s="8">
        <f>100*H198/10^$I$199</f>
        <v>0.0014469578262508575</v>
      </c>
    </row>
    <row r="199" spans="1:10" ht="12">
      <c r="A199" s="2" t="s">
        <v>448</v>
      </c>
      <c r="B199" s="9">
        <v>4.59</v>
      </c>
      <c r="C199">
        <v>1.63</v>
      </c>
      <c r="D199">
        <v>0</v>
      </c>
      <c r="E199" s="9">
        <v>0.05</v>
      </c>
      <c r="F199">
        <v>-8</v>
      </c>
      <c r="G199" s="9">
        <f>B199+0.511*F199*IEFF^0.5/(1+C199*IEFF^0.5)+E199*IEFF+D199*IEFF^2</f>
        <v>4.328498772103412</v>
      </c>
      <c r="H199" s="6">
        <f>10^G199*CAFREE</f>
        <v>1.2428685305950569</v>
      </c>
      <c r="I199" s="9">
        <f>LOG10(SUM(H195:H199))</f>
        <v>6.713626600890591</v>
      </c>
      <c r="J199" s="8">
        <f>100*H199/10^$I$199</f>
        <v>2.4032480076262235E-05</v>
      </c>
    </row>
    <row r="200" spans="1:16" ht="12">
      <c r="A200" s="2" t="s">
        <v>59</v>
      </c>
      <c r="N200" s="2" t="s">
        <v>449</v>
      </c>
      <c r="O200" s="2" t="s">
        <v>450</v>
      </c>
      <c r="P200" s="2" t="s">
        <v>451</v>
      </c>
    </row>
    <row r="201" spans="1:13" ht="12">
      <c r="A201" s="2" t="s">
        <v>439</v>
      </c>
      <c r="B201" s="9"/>
      <c r="E201" s="9"/>
      <c r="G201" s="9"/>
      <c r="H201">
        <v>1</v>
      </c>
      <c r="J201" s="8">
        <f>100*H201/10^$I$203</f>
        <v>99.5640964517848</v>
      </c>
      <c r="M201" s="2" t="s">
        <v>453</v>
      </c>
    </row>
    <row r="202" spans="1:15" ht="12">
      <c r="A202" s="2" t="s">
        <v>457</v>
      </c>
      <c r="B202" s="9">
        <v>1.26</v>
      </c>
      <c r="C202">
        <v>1.57</v>
      </c>
      <c r="D202">
        <v>0</v>
      </c>
      <c r="E202" s="9">
        <v>0.17</v>
      </c>
      <c r="F202">
        <v>-4</v>
      </c>
      <c r="G202" s="9">
        <f>B202+0.511*F202*IEFF^0.5/(1+C202*IEFF^0.5)+E202*IEFF+D202*IEFF^2</f>
        <v>1.129485747474324</v>
      </c>
      <c r="H202" s="6">
        <f>10^G202*MGFREE</f>
        <v>0.003936130143242613</v>
      </c>
      <c r="J202" s="8">
        <f>100*H202/10^$I$203</f>
        <v>0.391897241228585</v>
      </c>
      <c r="M202" s="2" t="s">
        <v>326</v>
      </c>
      <c r="N202">
        <v>1</v>
      </c>
      <c r="O202" s="8">
        <v>99.9955903319426</v>
      </c>
    </row>
    <row r="203" spans="1:15" ht="12">
      <c r="A203" s="2" t="s">
        <v>458</v>
      </c>
      <c r="B203" s="9">
        <v>1.01</v>
      </c>
      <c r="C203">
        <v>1.57</v>
      </c>
      <c r="D203">
        <v>0</v>
      </c>
      <c r="E203" s="9">
        <v>0.17</v>
      </c>
      <c r="F203">
        <v>-4</v>
      </c>
      <c r="G203" s="9">
        <f>B203+0.511*F203*IEFF^0.5/(1+C203*IEFF^0.5)+E203*IEFF+D203*IEFF^2</f>
        <v>0.8794857474743241</v>
      </c>
      <c r="H203" s="6">
        <f>10^G203*CAFREE</f>
        <v>0.0004419897187329702</v>
      </c>
      <c r="I203" s="9">
        <f>LOG10(SUM(H201:H203))</f>
        <v>0.001897243142128741</v>
      </c>
      <c r="J203" s="8">
        <f>100*H203/10^$I$203</f>
        <v>0.044006306986626685</v>
      </c>
      <c r="M203" s="2" t="s">
        <v>328</v>
      </c>
      <c r="N203" s="6">
        <v>4.409766055627213E-05</v>
      </c>
      <c r="O203" s="8">
        <v>0.004409571599582052</v>
      </c>
    </row>
    <row r="204" spans="1:16" ht="12">
      <c r="A204" s="2" t="s">
        <v>59</v>
      </c>
      <c r="M204" s="2" t="s">
        <v>330</v>
      </c>
      <c r="N204" s="6">
        <v>9.646207338234297E-10</v>
      </c>
      <c r="O204" s="8">
        <v>9.645781972510551E-08</v>
      </c>
      <c r="P204" s="9">
        <v>1.9151367302512915E-05</v>
      </c>
    </row>
    <row r="205" spans="1:13" ht="12">
      <c r="A205" s="2" t="s">
        <v>461</v>
      </c>
      <c r="B205" s="9"/>
      <c r="E205" s="9"/>
      <c r="H205" s="12">
        <v>1</v>
      </c>
      <c r="J205" s="8">
        <f>100*H205/10^$I$209</f>
        <v>6.427063462717356E-31</v>
      </c>
      <c r="M205" s="2" t="s">
        <v>462</v>
      </c>
    </row>
    <row r="206" spans="1:15" ht="12">
      <c r="A206" s="2" t="s">
        <v>463</v>
      </c>
      <c r="B206" s="9">
        <v>1.5</v>
      </c>
      <c r="C206">
        <v>2.02</v>
      </c>
      <c r="D206">
        <v>0</v>
      </c>
      <c r="E206" s="9">
        <v>0.09</v>
      </c>
      <c r="F206">
        <v>-6</v>
      </c>
      <c r="G206" s="9">
        <f>B206+0.511*F206*IEFF^0.5/(1+C206*IEFF^0.5)+E206*IEFF+D206*IEFF^2</f>
        <v>1.3089253970693184</v>
      </c>
      <c r="H206" s="6">
        <f>10^G206/HFREE</f>
        <v>2062277240.4712276</v>
      </c>
      <c r="J206" s="8">
        <f>100*H206/10^$I$209</f>
        <v>1.3254386702226204E-21</v>
      </c>
      <c r="M206" s="2" t="s">
        <v>429</v>
      </c>
      <c r="N206">
        <v>1</v>
      </c>
      <c r="O206" s="8">
        <v>99.99999463061589</v>
      </c>
    </row>
    <row r="207" spans="1:16" ht="12">
      <c r="A207" s="2" t="s">
        <v>468</v>
      </c>
      <c r="B207" s="9">
        <v>1.31</v>
      </c>
      <c r="C207">
        <v>4.84</v>
      </c>
      <c r="D207">
        <v>0</v>
      </c>
      <c r="E207" s="9">
        <v>0.19</v>
      </c>
      <c r="F207">
        <v>-10</v>
      </c>
      <c r="G207" s="9">
        <f>B207+0.511*F207*IEFF^0.5/(1+C207*IEFF^0.5)+E207*IEFF+D207*IEFF^2</f>
        <v>1.0395603540843086</v>
      </c>
      <c r="H207" s="6">
        <f>10^G207/HFREE^2</f>
        <v>1.1230618061193499E+17</v>
      </c>
      <c r="J207" s="8">
        <f>100*H207/10^$I$209</f>
        <v>7.217989500483037E-14</v>
      </c>
      <c r="M207" s="2" t="s">
        <v>431</v>
      </c>
      <c r="N207" s="6">
        <v>5.3693844018466424E-08</v>
      </c>
      <c r="O207" s="8">
        <v>5.369384113543769E-06</v>
      </c>
      <c r="P207" s="9">
        <v>2.3318939543344364E-08</v>
      </c>
    </row>
    <row r="208" spans="1:13" ht="12">
      <c r="A208" s="2" t="s">
        <v>472</v>
      </c>
      <c r="B208" s="9">
        <v>1.7</v>
      </c>
      <c r="C208">
        <v>4.01</v>
      </c>
      <c r="D208">
        <v>0</v>
      </c>
      <c r="E208" s="9">
        <v>-0.11</v>
      </c>
      <c r="F208">
        <v>-12</v>
      </c>
      <c r="G208" s="9">
        <f>B208+0.511*F208*IEFF^0.5/(1+C208*IEFF^0.5)+E208*IEFF+D208*IEFF^2</f>
        <v>1.3587247588114186</v>
      </c>
      <c r="H208" s="6">
        <f>10^G208/HFREE^3</f>
        <v>2.371317543087416E+25</v>
      </c>
      <c r="J208" s="8">
        <f>100*H208/10^$I$209</f>
        <v>1.5240608339677821E-05</v>
      </c>
      <c r="M208" s="2" t="s">
        <v>473</v>
      </c>
    </row>
    <row r="209" spans="1:15" ht="12">
      <c r="A209" s="2" t="s">
        <v>477</v>
      </c>
      <c r="B209" s="9">
        <v>0.51</v>
      </c>
      <c r="C209">
        <v>4.11</v>
      </c>
      <c r="D209">
        <v>0</v>
      </c>
      <c r="E209" s="9">
        <v>-0.17</v>
      </c>
      <c r="F209">
        <v>-12</v>
      </c>
      <c r="G209" s="9">
        <f>B209+0.511*F209*IEFF^0.5/(1+C209*IEFF^0.5)+E209*IEFF+D209*IEFF^2</f>
        <v>0.17030073829189663</v>
      </c>
      <c r="H209" s="6">
        <f>10^G209/HFREE^4</f>
        <v>1.5559202945401154E+32</v>
      </c>
      <c r="I209" s="9">
        <f>LOG10(SUM(H205:H209))</f>
        <v>32.191987411716816</v>
      </c>
      <c r="J209" s="8">
        <f>100*H209/10^$I$209</f>
        <v>99.99998475939204</v>
      </c>
      <c r="M209" s="2" t="s">
        <v>478</v>
      </c>
      <c r="N209">
        <v>1</v>
      </c>
      <c r="O209" s="8">
        <v>6.8138739066024E-10</v>
      </c>
    </row>
    <row r="210" spans="1:15" ht="12">
      <c r="A210" s="2" t="s">
        <v>59</v>
      </c>
      <c r="M210" s="2" t="s">
        <v>481</v>
      </c>
      <c r="N210" s="6">
        <v>331285.92637383007</v>
      </c>
      <c r="O210" s="8">
        <v>0.00022573405293432444</v>
      </c>
    </row>
    <row r="211" spans="1:15" ht="12">
      <c r="A211" s="2" t="s">
        <v>478</v>
      </c>
      <c r="B211" s="9"/>
      <c r="E211" s="9"/>
      <c r="G211" s="9"/>
      <c r="H211">
        <v>1</v>
      </c>
      <c r="J211" s="8">
        <f>100*H211/10^$I$214</f>
        <v>7.200211665399189E-10</v>
      </c>
      <c r="M211" s="2" t="s">
        <v>484</v>
      </c>
      <c r="N211" s="6">
        <v>146759061930.92584</v>
      </c>
      <c r="O211" s="8">
        <v>99.99977426485812</v>
      </c>
    </row>
    <row r="212" spans="1:16" ht="12">
      <c r="A212" s="2" t="s">
        <v>481</v>
      </c>
      <c r="B212" s="9">
        <v>-2.3</v>
      </c>
      <c r="C212">
        <v>1</v>
      </c>
      <c r="D212">
        <v>0</v>
      </c>
      <c r="E212" s="9">
        <v>0.1</v>
      </c>
      <c r="F212">
        <v>-2</v>
      </c>
      <c r="G212" s="9">
        <f>B212+0.511*F212*IEFF^0.5/(1+C212*IEFF^0.5)+E212*IEFF+D212*IEFF^2</f>
        <v>-2.3676788125238954</v>
      </c>
      <c r="H212" s="6">
        <f>10^G212/HFREE</f>
        <v>434253.01186784555</v>
      </c>
      <c r="J212" s="8">
        <f>100*H212/10^$I$214</f>
        <v>0.00031267136017855944</v>
      </c>
      <c r="M212" s="2" t="s">
        <v>487</v>
      </c>
      <c r="N212" s="6">
        <v>0.5981252936300306</v>
      </c>
      <c r="O212" s="8">
        <v>4.0755503311445647E-10</v>
      </c>
      <c r="P212" s="9">
        <v>11.166605907482769</v>
      </c>
    </row>
    <row r="213" spans="1:13" ht="12">
      <c r="A213" s="2" t="s">
        <v>484</v>
      </c>
      <c r="B213" s="9">
        <v>-4.8</v>
      </c>
      <c r="C213">
        <v>1</v>
      </c>
      <c r="D213">
        <v>0</v>
      </c>
      <c r="E213" s="9">
        <v>0</v>
      </c>
      <c r="F213">
        <v>-2</v>
      </c>
      <c r="G213" s="9">
        <f>B213+0.511*F213*IEFF^0.5/(1+C213*IEFF^0.5)+E213*IEFF+D213*IEFF^2</f>
        <v>-4.868189925158373</v>
      </c>
      <c r="H213" s="6">
        <f>10^G213/HFREE^2</f>
        <v>138884371703.19583</v>
      </c>
      <c r="J213" s="8">
        <f>100*H213/10^$I$214</f>
        <v>99.99968732789877</v>
      </c>
      <c r="M213" s="2" t="s">
        <v>490</v>
      </c>
    </row>
    <row r="214" spans="1:15" ht="12">
      <c r="A214" s="2" t="s">
        <v>487</v>
      </c>
      <c r="B214" s="9">
        <v>2.5</v>
      </c>
      <c r="C214">
        <v>4.04</v>
      </c>
      <c r="D214">
        <v>0</v>
      </c>
      <c r="E214" s="9">
        <v>0.17</v>
      </c>
      <c r="F214">
        <v>-8</v>
      </c>
      <c r="G214" s="9">
        <f>B214+0.511*F214*IEFF^0.5/(1+C214*IEFF^0.5)+E214*IEFF+D214*IEFF^2</f>
        <v>2.2741048714069465</v>
      </c>
      <c r="H214" s="6">
        <f>10^G214*SO4FREE</f>
        <v>0.02889939276548007</v>
      </c>
      <c r="I214" s="9">
        <f>LOG10(SUM(H211:H214))</f>
        <v>11.142654736379328</v>
      </c>
      <c r="J214" s="8">
        <f>100*H214/10^$I$214</f>
        <v>2.0808174491296254E-11</v>
      </c>
      <c r="M214" s="2" t="s">
        <v>493</v>
      </c>
      <c r="N214">
        <v>1</v>
      </c>
      <c r="O214" s="8">
        <v>4.977515088989566E-06</v>
      </c>
    </row>
    <row r="215" spans="1:15" ht="12">
      <c r="A215" s="2" t="s">
        <v>59</v>
      </c>
      <c r="M215" s="2" t="s">
        <v>496</v>
      </c>
      <c r="N215" s="6">
        <v>208.02963384098712</v>
      </c>
      <c r="O215" s="8">
        <v>0.0010354706414004878</v>
      </c>
    </row>
    <row r="216" spans="1:15" ht="12">
      <c r="A216" s="2" t="s">
        <v>499</v>
      </c>
      <c r="B216" s="9"/>
      <c r="E216" s="9"/>
      <c r="H216">
        <v>1</v>
      </c>
      <c r="J216" s="8">
        <f aca="true" t="shared" si="24" ref="J216:J221">100*H216/10^$I$221</f>
        <v>0.00019681870553346815</v>
      </c>
      <c r="M216" s="2" t="s">
        <v>500</v>
      </c>
      <c r="N216" s="6">
        <v>0.7633820072018088</v>
      </c>
      <c r="O216" s="8">
        <v>3.7997454595101443E-06</v>
      </c>
    </row>
    <row r="217" spans="1:15" ht="12">
      <c r="A217" s="2" t="s">
        <v>502</v>
      </c>
      <c r="B217" s="9">
        <v>-2.3</v>
      </c>
      <c r="C217">
        <v>1</v>
      </c>
      <c r="D217">
        <v>0</v>
      </c>
      <c r="E217" s="9">
        <v>0.1</v>
      </c>
      <c r="F217">
        <v>0</v>
      </c>
      <c r="G217" s="9">
        <f>B217+0.511*F217*IEFF^0.5/(1+C217*IEFF^0.5)+E217*IEFF+D217*IEFF^2</f>
        <v>-2.299488887365522</v>
      </c>
      <c r="H217" s="6">
        <f>10^G217/HFREE</f>
        <v>508080.77764593635</v>
      </c>
      <c r="J217" s="8">
        <f t="shared" si="24"/>
        <v>99.99980096271106</v>
      </c>
      <c r="M217" s="2" t="s">
        <v>503</v>
      </c>
      <c r="N217" s="6">
        <v>0.04354714585584003</v>
      </c>
      <c r="O217" s="8">
        <v>2.1675657557987318E-07</v>
      </c>
    </row>
    <row r="218" spans="1:15" ht="12">
      <c r="A218" s="2" t="s">
        <v>506</v>
      </c>
      <c r="B218" s="9">
        <v>0.1</v>
      </c>
      <c r="C218">
        <v>0.78</v>
      </c>
      <c r="D218">
        <v>0</v>
      </c>
      <c r="E218" s="9">
        <v>0.06</v>
      </c>
      <c r="F218">
        <v>-2</v>
      </c>
      <c r="G218" s="9">
        <f>B218+0.511*F218*IEFF^0.5/(1+C218*IEFF^0.5)+E218*IEFF+D218*IEFF^2</f>
        <v>0.031100881142961705</v>
      </c>
      <c r="H218" s="6">
        <f>10^G218*FFREE</f>
        <v>4.1072828463901557E-07</v>
      </c>
      <c r="J218" s="8">
        <f t="shared" si="24"/>
        <v>8.083900930863289E-11</v>
      </c>
      <c r="M218" s="2" t="s">
        <v>507</v>
      </c>
      <c r="N218" s="6">
        <v>0.0003278030241543129</v>
      </c>
      <c r="O218" s="8">
        <v>1.6316444989445034E-09</v>
      </c>
    </row>
    <row r="219" spans="1:15" ht="12">
      <c r="A219" s="2" t="s">
        <v>509</v>
      </c>
      <c r="B219" s="9">
        <v>0.51</v>
      </c>
      <c r="C219">
        <v>0.78</v>
      </c>
      <c r="D219">
        <v>0</v>
      </c>
      <c r="E219" s="9">
        <v>0.06</v>
      </c>
      <c r="F219">
        <v>-2</v>
      </c>
      <c r="G219" s="9">
        <f>B219+0.511*F219*IEFF^0.5/(1+C219*IEFF^0.5)+E219*IEFF+D219*IEFF^2</f>
        <v>0.4411008811429617</v>
      </c>
      <c r="H219" s="6">
        <f>10^G219*CLFREE</f>
        <v>0.008608692477861526</v>
      </c>
      <c r="J219" s="8">
        <f t="shared" si="24"/>
        <v>1.69435170982841E-06</v>
      </c>
      <c r="M219" s="2" t="s">
        <v>510</v>
      </c>
      <c r="N219" s="6">
        <v>1.6334123263716717E-07</v>
      </c>
      <c r="O219" s="8">
        <v>8.130334501056544E-13</v>
      </c>
    </row>
    <row r="220" spans="1:15" ht="12">
      <c r="A220" s="2" t="s">
        <v>513</v>
      </c>
      <c r="B220" s="9">
        <v>-0.07</v>
      </c>
      <c r="C220">
        <v>5.4</v>
      </c>
      <c r="D220">
        <v>0</v>
      </c>
      <c r="E220" s="9">
        <v>0.13</v>
      </c>
      <c r="F220">
        <v>-2</v>
      </c>
      <c r="G220" s="9">
        <f>B220+0.511*F220*IEFF^0.5/(1+C220*IEFF^0.5)+E220*IEFF+D220*IEFF^2</f>
        <v>-0.1220497919702172</v>
      </c>
      <c r="H220" s="6">
        <f>10^G220*CLFREE^2</f>
        <v>7.338762514205477E-06</v>
      </c>
      <c r="J220" s="8">
        <f t="shared" si="24"/>
        <v>1.444405738263462E-09</v>
      </c>
      <c r="M220" s="2" t="s">
        <v>514</v>
      </c>
      <c r="N220" s="6">
        <v>0.47927456080837294</v>
      </c>
      <c r="O220" s="8">
        <v>2.3855963581925236E-06</v>
      </c>
    </row>
    <row r="221" spans="1:15" ht="12">
      <c r="A221" s="2" t="s">
        <v>516</v>
      </c>
      <c r="B221" s="9">
        <v>1.37</v>
      </c>
      <c r="C221">
        <v>1.44</v>
      </c>
      <c r="D221">
        <v>0</v>
      </c>
      <c r="E221" s="9">
        <v>-0.02</v>
      </c>
      <c r="F221">
        <v>-4</v>
      </c>
      <c r="G221" s="9">
        <f>B221+0.511*F221*IEFF^0.5/(1+C221*IEFF^0.5)+E221*IEFF+D221*IEFF^2</f>
        <v>1.2374075356272964</v>
      </c>
      <c r="H221" s="6">
        <f>10^G221*SO4FREE</f>
        <v>0.0026557756316478655</v>
      </c>
      <c r="I221" s="9">
        <f>LOG10(SUM(H216:H221))</f>
        <v>5.705933628852249</v>
      </c>
      <c r="J221" s="8">
        <f t="shared" si="24"/>
        <v>5.227063220082616E-07</v>
      </c>
      <c r="M221" s="2" t="s">
        <v>517</v>
      </c>
      <c r="N221" s="6">
        <v>0.6743579301233179</v>
      </c>
      <c r="O221" s="8">
        <v>3.3566267725685856E-06</v>
      </c>
    </row>
    <row r="222" spans="1:15" ht="12">
      <c r="A222" s="2" t="s">
        <v>59</v>
      </c>
      <c r="M222" s="2" t="s">
        <v>520</v>
      </c>
      <c r="N222" s="6">
        <v>0.038605183769966384</v>
      </c>
      <c r="O222" s="8">
        <v>1.9215788472822278E-07</v>
      </c>
    </row>
    <row r="223" spans="1:15" ht="12">
      <c r="A223" s="2" t="s">
        <v>523</v>
      </c>
      <c r="B223" s="9"/>
      <c r="E223" s="9"/>
      <c r="G223" s="9"/>
      <c r="H223">
        <v>1</v>
      </c>
      <c r="J223" s="8">
        <f aca="true" t="shared" si="25" ref="J223:J232">100*H223/10^$I$232</f>
        <v>2.9123856751895243E-19</v>
      </c>
      <c r="M223" s="2" t="s">
        <v>524</v>
      </c>
      <c r="N223" s="6">
        <v>0.006800553412178671</v>
      </c>
      <c r="O223" s="8">
        <v>3.3849857222598815E-08</v>
      </c>
    </row>
    <row r="224" spans="1:15" ht="12">
      <c r="A224" s="2" t="s">
        <v>527</v>
      </c>
      <c r="B224" s="9">
        <v>-0.62</v>
      </c>
      <c r="C224">
        <v>3.91</v>
      </c>
      <c r="D224">
        <v>0</v>
      </c>
      <c r="E224" s="9">
        <v>0</v>
      </c>
      <c r="F224">
        <v>-4</v>
      </c>
      <c r="G224" s="9">
        <f aca="true" t="shared" si="26" ref="G224:G232">B224+0.511*F224*IEFF^0.5/(1+C224*IEFF^0.5)+E224*IEFF+D224*IEFF^2</f>
        <v>-0.7342055674641734</v>
      </c>
      <c r="H224" s="6">
        <f>10^G224/HFREE</f>
        <v>18673085.439433113</v>
      </c>
      <c r="J224" s="8">
        <f t="shared" si="25"/>
        <v>5.438322654539508E-12</v>
      </c>
      <c r="M224" s="2" t="s">
        <v>528</v>
      </c>
      <c r="N224" s="6">
        <v>59.71377455680959</v>
      </c>
      <c r="O224" s="8">
        <v>0.00029722621387704096</v>
      </c>
    </row>
    <row r="225" spans="1:15" ht="12">
      <c r="A225" s="2" t="s">
        <v>531</v>
      </c>
      <c r="B225" s="9">
        <v>-1.57</v>
      </c>
      <c r="C225">
        <v>3.09</v>
      </c>
      <c r="D225">
        <v>0</v>
      </c>
      <c r="E225" s="9">
        <v>-0.02</v>
      </c>
      <c r="F225">
        <v>-6</v>
      </c>
      <c r="G225" s="9">
        <f t="shared" si="26"/>
        <v>-1.7496361586263238</v>
      </c>
      <c r="H225" s="6">
        <f>10^G225/HFREE^2</f>
        <v>182476585147416.47</v>
      </c>
      <c r="J225" s="8">
        <f t="shared" si="25"/>
        <v>5.314421926408373E-05</v>
      </c>
      <c r="M225" s="2" t="s">
        <v>532</v>
      </c>
      <c r="N225" s="6">
        <v>2740379.4112844914</v>
      </c>
      <c r="O225" s="8">
        <v>13.640279869224898</v>
      </c>
    </row>
    <row r="226" spans="1:16" ht="12">
      <c r="A226" s="2" t="s">
        <v>535</v>
      </c>
      <c r="B226" s="9">
        <v>-3.3</v>
      </c>
      <c r="C226">
        <v>3.06</v>
      </c>
      <c r="D226">
        <v>0</v>
      </c>
      <c r="E226" s="9">
        <v>-0.15</v>
      </c>
      <c r="F226">
        <v>-6</v>
      </c>
      <c r="G226" s="9">
        <f t="shared" si="26"/>
        <v>-3.4806165459153156</v>
      </c>
      <c r="H226" s="6">
        <f>10^G226/HFREE^3</f>
        <v>3.4327992726997565E+20</v>
      </c>
      <c r="J226" s="8">
        <f t="shared" si="25"/>
        <v>99.97635427611789</v>
      </c>
      <c r="M226" s="2" t="s">
        <v>536</v>
      </c>
      <c r="N226" s="6">
        <v>17349695.767084073</v>
      </c>
      <c r="O226" s="8">
        <v>86.35837247003937</v>
      </c>
      <c r="P226" s="9">
        <v>7.302987414765149</v>
      </c>
    </row>
    <row r="227" spans="1:15" ht="12">
      <c r="A227" s="2" t="s">
        <v>539</v>
      </c>
      <c r="B227" s="9">
        <v>-15</v>
      </c>
      <c r="C227">
        <v>4.29</v>
      </c>
      <c r="D227">
        <v>0</v>
      </c>
      <c r="E227" s="9">
        <v>-0.26</v>
      </c>
      <c r="F227">
        <v>-4</v>
      </c>
      <c r="G227" s="9">
        <f t="shared" si="26"/>
        <v>-15.113160065900981</v>
      </c>
      <c r="H227" s="6">
        <f>10^G227/HFREE^4</f>
        <v>81007744698300800</v>
      </c>
      <c r="J227" s="8">
        <f t="shared" si="25"/>
        <v>0.02359257952387414</v>
      </c>
      <c r="M227" s="2" t="s">
        <v>540</v>
      </c>
      <c r="N227">
        <v>1</v>
      </c>
      <c r="O227" s="8">
        <v>47.21525466318975</v>
      </c>
    </row>
    <row r="228" spans="1:17" ht="12">
      <c r="A228" s="2" t="s">
        <v>543</v>
      </c>
      <c r="B228" s="9">
        <v>7.73</v>
      </c>
      <c r="C228">
        <v>1.09</v>
      </c>
      <c r="D228">
        <v>0</v>
      </c>
      <c r="E228" s="9">
        <v>0.41</v>
      </c>
      <c r="F228">
        <v>-6</v>
      </c>
      <c r="G228" s="9">
        <f t="shared" si="26"/>
        <v>7.528746891759905</v>
      </c>
      <c r="H228" s="6">
        <f>10^G228*CLFREE</f>
        <v>105337.54797435395</v>
      </c>
      <c r="J228" s="8">
        <f t="shared" si="25"/>
        <v>3.067835657800978E-14</v>
      </c>
      <c r="M228" s="2" t="s">
        <v>544</v>
      </c>
      <c r="N228" s="6">
        <v>1.1047005170849407</v>
      </c>
      <c r="O228" s="8">
        <v>52.15871624072287</v>
      </c>
      <c r="Q228" s="9"/>
    </row>
    <row r="229" spans="1:16" ht="12">
      <c r="A229" s="2" t="s">
        <v>547</v>
      </c>
      <c r="B229" s="9">
        <v>7.73</v>
      </c>
      <c r="C229">
        <v>0.89</v>
      </c>
      <c r="D229">
        <v>0</v>
      </c>
      <c r="E229" s="9">
        <v>0.84</v>
      </c>
      <c r="F229">
        <v>-10</v>
      </c>
      <c r="G229" s="9">
        <f t="shared" si="26"/>
        <v>7.390822844547463</v>
      </c>
      <c r="H229" s="6">
        <f>10^G229*CLFREE^2</f>
        <v>239.05370028118045</v>
      </c>
      <c r="J229" s="8">
        <f t="shared" si="25"/>
        <v>6.9621657229996E-17</v>
      </c>
      <c r="M229" s="2" t="s">
        <v>548</v>
      </c>
      <c r="N229" s="6">
        <v>0.013259043090060029</v>
      </c>
      <c r="O229" s="8">
        <v>0.6260290960873905</v>
      </c>
      <c r="P229">
        <v>0.33</v>
      </c>
    </row>
    <row r="230" spans="1:10" ht="12">
      <c r="A230" s="2" t="s">
        <v>551</v>
      </c>
      <c r="B230" s="9">
        <v>16.5</v>
      </c>
      <c r="C230">
        <v>0.89</v>
      </c>
      <c r="D230">
        <v>0</v>
      </c>
      <c r="E230" s="9">
        <v>1.16</v>
      </c>
      <c r="F230">
        <v>-12</v>
      </c>
      <c r="G230" s="9">
        <f t="shared" si="26"/>
        <v>16.09376430466136</v>
      </c>
      <c r="H230" s="6">
        <f>10^G230*CLFREE^3</f>
        <v>376073943.00342685</v>
      </c>
      <c r="J230" s="8">
        <f t="shared" si="25"/>
        <v>1.095272364415222E-10</v>
      </c>
    </row>
    <row r="231" spans="1:10" ht="12">
      <c r="A231" s="2" t="s">
        <v>554</v>
      </c>
      <c r="B231" s="9">
        <v>18.34</v>
      </c>
      <c r="C231">
        <v>0.72</v>
      </c>
      <c r="D231">
        <v>0</v>
      </c>
      <c r="E231" s="9">
        <v>1.5</v>
      </c>
      <c r="F231">
        <v>-12</v>
      </c>
      <c r="G231" s="9">
        <f t="shared" si="26"/>
        <v>17.93073800548179</v>
      </c>
      <c r="H231" s="6">
        <f>10^G231*CLFREE^4</f>
        <v>80553285.27548963</v>
      </c>
      <c r="J231" s="8">
        <f t="shared" si="25"/>
        <v>2.3460223412579122E-11</v>
      </c>
    </row>
    <row r="232" spans="1:10" ht="12">
      <c r="A232" s="2" t="s">
        <v>557</v>
      </c>
      <c r="B232" s="9">
        <v>4.38</v>
      </c>
      <c r="C232">
        <v>1.85</v>
      </c>
      <c r="D232">
        <v>0</v>
      </c>
      <c r="E232" s="9">
        <v>0.14</v>
      </c>
      <c r="F232">
        <v>-12</v>
      </c>
      <c r="G232" s="9">
        <f t="shared" si="26"/>
        <v>3.9935344908615185</v>
      </c>
      <c r="H232" s="6">
        <f>10^G232*SO4FREE</f>
        <v>1.5146710922234738</v>
      </c>
      <c r="I232" s="9">
        <f>LOG10(SUM(H223:H232))</f>
        <v>20.53575111372861</v>
      </c>
      <c r="J232" s="8">
        <f t="shared" si="25"/>
        <v>4.411306391615316E-19</v>
      </c>
    </row>
    <row r="233" ht="12">
      <c r="A233" s="2" t="s">
        <v>59</v>
      </c>
    </row>
    <row r="234" spans="1:10" ht="12">
      <c r="A234" s="2" t="s">
        <v>562</v>
      </c>
      <c r="B234" s="9"/>
      <c r="E234" s="9"/>
      <c r="H234">
        <v>1</v>
      </c>
      <c r="J234" s="8">
        <f aca="true" t="shared" si="27" ref="J234:J244">100*H234/10^$I$244</f>
        <v>2.0169305169499786E-22</v>
      </c>
    </row>
    <row r="235" spans="1:10" ht="12">
      <c r="A235" s="2" t="s">
        <v>565</v>
      </c>
      <c r="B235" s="9">
        <v>-0.65</v>
      </c>
      <c r="C235">
        <v>1.97</v>
      </c>
      <c r="D235">
        <v>0</v>
      </c>
      <c r="E235" s="9">
        <v>0.03</v>
      </c>
      <c r="F235">
        <v>-6</v>
      </c>
      <c r="G235" s="9">
        <f aca="true" t="shared" si="28" ref="G235:G244">B235+0.511*F235*IEFF^0.5/(1+C235*IEFF^0.5)+E235*IEFF+D235*IEFF^2</f>
        <v>-0.8419814083425329</v>
      </c>
      <c r="H235" s="6">
        <f>10^G235/HFREE</f>
        <v>14569352.246594783</v>
      </c>
      <c r="J235" s="8">
        <f t="shared" si="27"/>
        <v>2.9385371158350743E-15</v>
      </c>
    </row>
    <row r="236" spans="1:10" ht="12">
      <c r="A236" s="2" t="s">
        <v>568</v>
      </c>
      <c r="B236" s="9">
        <v>-2.6</v>
      </c>
      <c r="C236">
        <v>1</v>
      </c>
      <c r="D236">
        <v>0</v>
      </c>
      <c r="E236" s="9">
        <v>1.96</v>
      </c>
      <c r="F236">
        <v>-10</v>
      </c>
      <c r="G236" s="9">
        <f t="shared" si="28"/>
        <v>-2.9309318181561044</v>
      </c>
      <c r="H236" s="6">
        <f>10^G236/HFREE^2</f>
        <v>12020194233594.555</v>
      </c>
      <c r="J236" s="8">
        <f t="shared" si="27"/>
        <v>2.424389656940302E-09</v>
      </c>
    </row>
    <row r="237" spans="1:10" ht="12">
      <c r="A237" s="2" t="s">
        <v>571</v>
      </c>
      <c r="B237" s="9">
        <v>-5.8</v>
      </c>
      <c r="C237">
        <v>1</v>
      </c>
      <c r="D237">
        <v>0</v>
      </c>
      <c r="E237" s="9">
        <v>1.81</v>
      </c>
      <c r="F237">
        <v>-12</v>
      </c>
      <c r="G237" s="9">
        <f t="shared" si="28"/>
        <v>-6.199888412266194</v>
      </c>
      <c r="H237" s="6">
        <f>10^G237/HFREE^3</f>
        <v>6.552040045952663E+17</v>
      </c>
      <c r="J237" s="8">
        <f t="shared" si="27"/>
        <v>0.00013215009516960265</v>
      </c>
    </row>
    <row r="238" spans="1:10" ht="12">
      <c r="A238" s="2" t="s">
        <v>574</v>
      </c>
      <c r="B238" s="9">
        <v>-10.3</v>
      </c>
      <c r="C238">
        <v>1</v>
      </c>
      <c r="D238">
        <v>0</v>
      </c>
      <c r="E238" s="9">
        <v>1.78</v>
      </c>
      <c r="F238">
        <v>-12</v>
      </c>
      <c r="G238" s="9">
        <f t="shared" si="28"/>
        <v>-10.700041746056538</v>
      </c>
      <c r="H238" s="6">
        <f>10^G238/HFREE^4</f>
        <v>2.097224203659055E+21</v>
      </c>
      <c r="J238" s="8">
        <f t="shared" si="27"/>
        <v>0.4229955497246065</v>
      </c>
    </row>
    <row r="239" spans="1:10" ht="12">
      <c r="A239" s="2" t="s">
        <v>575</v>
      </c>
      <c r="B239" s="9">
        <v>-16</v>
      </c>
      <c r="C239">
        <v>1</v>
      </c>
      <c r="D239">
        <v>0</v>
      </c>
      <c r="E239" s="9">
        <v>1.43</v>
      </c>
      <c r="F239">
        <v>-10</v>
      </c>
      <c r="G239" s="9">
        <f t="shared" si="28"/>
        <v>-16.333640715118836</v>
      </c>
      <c r="H239" s="6">
        <f>10^G239/HFREE^5</f>
        <v>4.9370502087665544E+23</v>
      </c>
      <c r="J239" s="8">
        <f t="shared" si="27"/>
        <v>99.57687229775526</v>
      </c>
    </row>
    <row r="240" spans="1:10" ht="12">
      <c r="A240" s="2" t="s">
        <v>576</v>
      </c>
      <c r="B240" s="9">
        <v>10.23</v>
      </c>
      <c r="C240">
        <v>2.16</v>
      </c>
      <c r="D240">
        <v>0</v>
      </c>
      <c r="E240" s="9">
        <v>0.08</v>
      </c>
      <c r="F240">
        <v>-8</v>
      </c>
      <c r="G240" s="9">
        <f t="shared" si="28"/>
        <v>9.977243569282795</v>
      </c>
      <c r="H240" s="6">
        <f>10^G240*FFREE</f>
        <v>3628.250798720782</v>
      </c>
      <c r="J240" s="8">
        <f t="shared" si="27"/>
        <v>7.31792975908808E-19</v>
      </c>
    </row>
    <row r="241" spans="1:10" ht="12">
      <c r="A241" s="2" t="s">
        <v>577</v>
      </c>
      <c r="B241" s="9">
        <v>16.3</v>
      </c>
      <c r="C241">
        <v>2.07</v>
      </c>
      <c r="D241">
        <v>0</v>
      </c>
      <c r="E241" s="9">
        <v>0.55</v>
      </c>
      <c r="F241">
        <v>-14</v>
      </c>
      <c r="G241" s="9">
        <f t="shared" si="28"/>
        <v>15.857288643749404</v>
      </c>
      <c r="H241" s="6">
        <f>10^G241*FFREE^2</f>
        <v>1052.4369910495325</v>
      </c>
      <c r="J241" s="8">
        <f t="shared" si="27"/>
        <v>2.1226922844148136E-19</v>
      </c>
    </row>
    <row r="242" spans="1:10" ht="12">
      <c r="A242" s="2" t="s">
        <v>578</v>
      </c>
      <c r="B242" s="9">
        <v>23.2</v>
      </c>
      <c r="C242">
        <v>0.89</v>
      </c>
      <c r="D242">
        <v>0</v>
      </c>
      <c r="E242" s="9">
        <v>1.16</v>
      </c>
      <c r="F242">
        <v>-18</v>
      </c>
      <c r="G242" s="9">
        <f t="shared" si="28"/>
        <v>22.587682003712068</v>
      </c>
      <c r="H242" s="6">
        <f>10^G242*FFREE^3</f>
        <v>2162.9336361764663</v>
      </c>
      <c r="J242" s="8">
        <f t="shared" si="27"/>
        <v>4.362486856941897E-19</v>
      </c>
    </row>
    <row r="243" spans="1:10" ht="12">
      <c r="A243" s="2" t="s">
        <v>579</v>
      </c>
      <c r="B243" s="9">
        <v>7.54</v>
      </c>
      <c r="C243">
        <v>1</v>
      </c>
      <c r="D243">
        <v>0</v>
      </c>
      <c r="E243" s="9">
        <v>0.34</v>
      </c>
      <c r="F243">
        <v>-16</v>
      </c>
      <c r="G243" s="9">
        <f t="shared" si="28"/>
        <v>6.996218381690237</v>
      </c>
      <c r="H243" s="6">
        <f>10^G243*SO4FREE</f>
        <v>1524.0605715137024</v>
      </c>
      <c r="J243" s="8">
        <f t="shared" si="27"/>
        <v>3.073924276366212E-19</v>
      </c>
    </row>
    <row r="244" spans="1:10" ht="12">
      <c r="A244" s="2" t="s">
        <v>580</v>
      </c>
      <c r="B244" s="9">
        <v>12.01</v>
      </c>
      <c r="C244">
        <v>1</v>
      </c>
      <c r="D244">
        <v>0</v>
      </c>
      <c r="E244" s="9">
        <v>0.5</v>
      </c>
      <c r="F244">
        <v>-20</v>
      </c>
      <c r="G244" s="9">
        <f t="shared" si="28"/>
        <v>11.330656311588653</v>
      </c>
      <c r="H244" s="6">
        <f>10^G244*SO4FREE^2</f>
        <v>5060.856273467685</v>
      </c>
      <c r="I244" s="9">
        <f>LOG10(SUM(H234:H244))</f>
        <v>23.69530906293001</v>
      </c>
      <c r="J244" s="8">
        <f t="shared" si="27"/>
        <v>1.0207395459854721E-18</v>
      </c>
    </row>
    <row r="245" ht="12">
      <c r="A245" s="2" t="s">
        <v>59</v>
      </c>
    </row>
    <row r="246" spans="1:10" ht="12">
      <c r="A246" s="2" t="s">
        <v>493</v>
      </c>
      <c r="B246" s="9"/>
      <c r="E246" s="9"/>
      <c r="H246">
        <v>1</v>
      </c>
      <c r="J246" s="8">
        <f aca="true" t="shared" si="29" ref="J246:J258">100*H246/10^$I$258</f>
        <v>1.5035155383089036E-05</v>
      </c>
    </row>
    <row r="247" spans="1:10" ht="12">
      <c r="A247" s="2" t="s">
        <v>496</v>
      </c>
      <c r="B247" s="9">
        <v>-5.8</v>
      </c>
      <c r="C247">
        <v>2.32</v>
      </c>
      <c r="D247">
        <v>0</v>
      </c>
      <c r="E247" s="9">
        <v>0.3</v>
      </c>
      <c r="F247">
        <v>-2</v>
      </c>
      <c r="G247" s="9">
        <f aca="true" t="shared" si="30" ref="G247:G258">B247+0.511*F247*IEFF^0.5/(1+C247*IEFF^0.5)+E247*IEFF+D247*IEFF^2</f>
        <v>-5.861137015390906</v>
      </c>
      <c r="H247" s="6">
        <f>10^G247/HFREE</f>
        <v>139.4070176598884</v>
      </c>
      <c r="J247" s="8">
        <f t="shared" si="29"/>
        <v>0.0020960061720094593</v>
      </c>
    </row>
    <row r="248" spans="1:10" ht="12">
      <c r="A248" s="2" t="s">
        <v>500</v>
      </c>
      <c r="B248" s="9">
        <v>5.16</v>
      </c>
      <c r="C248">
        <v>1.57</v>
      </c>
      <c r="D248">
        <v>0</v>
      </c>
      <c r="E248" s="9">
        <v>0.17</v>
      </c>
      <c r="F248">
        <v>-4</v>
      </c>
      <c r="G248" s="9">
        <f t="shared" si="30"/>
        <v>5.029485747474324</v>
      </c>
      <c r="H248" s="6">
        <f>10^G248*FFREE</f>
        <v>0.040920363008973414</v>
      </c>
      <c r="J248" s="8">
        <f t="shared" si="29"/>
        <v>6.15244016172324E-07</v>
      </c>
    </row>
    <row r="249" spans="1:10" ht="12">
      <c r="A249" s="2" t="s">
        <v>503</v>
      </c>
      <c r="B249" s="9">
        <v>8.85</v>
      </c>
      <c r="C249">
        <v>1.52</v>
      </c>
      <c r="D249">
        <v>0</v>
      </c>
      <c r="E249" s="9">
        <v>0.34</v>
      </c>
      <c r="F249">
        <v>-6</v>
      </c>
      <c r="G249" s="9">
        <f t="shared" si="30"/>
        <v>8.654027651621625</v>
      </c>
      <c r="H249" s="6">
        <f>10^G249*FFREE^2</f>
        <v>6.590754155401366E-05</v>
      </c>
      <c r="J249" s="8">
        <f t="shared" si="29"/>
        <v>9.909301281819928E-10</v>
      </c>
    </row>
    <row r="250" spans="1:10" ht="12">
      <c r="A250" s="2" t="s">
        <v>507</v>
      </c>
      <c r="B250" s="9">
        <v>11.42</v>
      </c>
      <c r="C250">
        <v>1.12</v>
      </c>
      <c r="D250">
        <v>0</v>
      </c>
      <c r="E250" s="9">
        <v>0.58</v>
      </c>
      <c r="F250">
        <v>-6</v>
      </c>
      <c r="G250" s="9">
        <f t="shared" si="30"/>
        <v>11.220019585283515</v>
      </c>
      <c r="H250" s="6">
        <f>10^G250*FFREE^3</f>
        <v>9.276427956220128E-09</v>
      </c>
      <c r="J250" s="8">
        <f t="shared" si="29"/>
        <v>1.394725357218007E-13</v>
      </c>
    </row>
    <row r="251" spans="1:10" ht="12">
      <c r="A251" s="2" t="s">
        <v>510</v>
      </c>
      <c r="B251" s="9">
        <v>11.97</v>
      </c>
      <c r="C251">
        <v>3.65</v>
      </c>
      <c r="D251">
        <v>0</v>
      </c>
      <c r="E251" s="9">
        <v>0.47</v>
      </c>
      <c r="F251">
        <v>-4</v>
      </c>
      <c r="G251" s="9">
        <f t="shared" si="30"/>
        <v>11.856513126200724</v>
      </c>
      <c r="H251" s="6">
        <f>10^G251*FFREE^4</f>
        <v>1.5357766038542455E-14</v>
      </c>
      <c r="J251" s="8">
        <f t="shared" si="29"/>
        <v>2.309063987266136E-19</v>
      </c>
    </row>
    <row r="252" spans="1:10" ht="12">
      <c r="A252" s="2" t="s">
        <v>514</v>
      </c>
      <c r="B252" s="9">
        <v>0.21</v>
      </c>
      <c r="C252">
        <v>6.25</v>
      </c>
      <c r="D252">
        <v>0</v>
      </c>
      <c r="E252" s="9">
        <v>0.01</v>
      </c>
      <c r="F252">
        <v>-4</v>
      </c>
      <c r="G252" s="9">
        <f t="shared" si="30"/>
        <v>0.10905074951740847</v>
      </c>
      <c r="H252" s="6">
        <f>10^G252*CLFREE</f>
        <v>0.004007624864916258</v>
      </c>
      <c r="J252" s="8">
        <f t="shared" si="29"/>
        <v>6.025526256114715E-08</v>
      </c>
    </row>
    <row r="253" spans="1:10" ht="12">
      <c r="A253" s="2" t="s">
        <v>517</v>
      </c>
      <c r="B253" s="9">
        <v>2.95</v>
      </c>
      <c r="C253">
        <v>2.63</v>
      </c>
      <c r="D253">
        <v>0</v>
      </c>
      <c r="E253" s="9">
        <v>-0.01</v>
      </c>
      <c r="F253">
        <v>-8</v>
      </c>
      <c r="G253" s="9">
        <f t="shared" si="30"/>
        <v>2.7039439309996967</v>
      </c>
      <c r="H253" s="6">
        <f>10^G253*SO4FREE</f>
        <v>0.07775490176860166</v>
      </c>
      <c r="J253" s="8">
        <f t="shared" si="29"/>
        <v>1.1690570298877503E-06</v>
      </c>
    </row>
    <row r="254" spans="1:10" ht="12">
      <c r="A254" s="2" t="s">
        <v>520</v>
      </c>
      <c r="B254" s="9">
        <v>4.28</v>
      </c>
      <c r="C254">
        <v>1.61</v>
      </c>
      <c r="D254">
        <v>0</v>
      </c>
      <c r="E254" s="9">
        <v>-0.22</v>
      </c>
      <c r="F254">
        <v>-8</v>
      </c>
      <c r="G254" s="9">
        <f t="shared" si="30"/>
        <v>4.016783129684621</v>
      </c>
      <c r="H254" s="6">
        <f>10^G254*SO4FREE^2</f>
        <v>0.00024566926232365396</v>
      </c>
      <c r="J254" s="8">
        <f t="shared" si="29"/>
        <v>3.6936755318849988E-09</v>
      </c>
    </row>
    <row r="255" spans="1:10" ht="12">
      <c r="A255" s="2" t="s">
        <v>524</v>
      </c>
      <c r="B255" s="9">
        <v>4.7</v>
      </c>
      <c r="C255">
        <v>0</v>
      </c>
      <c r="D255">
        <v>0.16</v>
      </c>
      <c r="E255" s="9">
        <v>-1.17</v>
      </c>
      <c r="F255">
        <v>0</v>
      </c>
      <c r="G255" s="9">
        <f t="shared" si="30"/>
        <v>4.694024161954613</v>
      </c>
      <c r="H255" s="6">
        <f>10^G255*SO4FREE^3</f>
        <v>1.796286889280148E-07</v>
      </c>
      <c r="J255" s="8">
        <f t="shared" si="29"/>
        <v>2.7007452492932677E-12</v>
      </c>
    </row>
    <row r="256" spans="1:12" ht="12">
      <c r="A256" s="2" t="s">
        <v>528</v>
      </c>
      <c r="B256" s="9">
        <v>9.76</v>
      </c>
      <c r="C256">
        <v>1.63</v>
      </c>
      <c r="D256">
        <v>0</v>
      </c>
      <c r="E256" s="9">
        <v>0.05</v>
      </c>
      <c r="F256">
        <v>-8</v>
      </c>
      <c r="G256" s="9">
        <f t="shared" si="30"/>
        <v>9.498498772103412</v>
      </c>
      <c r="H256" s="6">
        <f>10^G256*CO3FREE</f>
        <v>41956.204423744595</v>
      </c>
      <c r="J256" s="8">
        <f t="shared" si="29"/>
        <v>0.6308180527956476</v>
      </c>
      <c r="L256" s="2" t="s">
        <v>583</v>
      </c>
    </row>
    <row r="257" spans="1:10" ht="12">
      <c r="A257" s="2" t="s">
        <v>532</v>
      </c>
      <c r="B257" s="9">
        <v>16.68</v>
      </c>
      <c r="C257">
        <v>1.61</v>
      </c>
      <c r="D257">
        <v>0</v>
      </c>
      <c r="E257" s="9">
        <v>-0.22</v>
      </c>
      <c r="F257">
        <v>-8</v>
      </c>
      <c r="G257" s="9">
        <f t="shared" si="30"/>
        <v>16.41678312968462</v>
      </c>
      <c r="H257" s="6">
        <f>10^G257*CO3FREE^2</f>
        <v>4627836.11574507</v>
      </c>
      <c r="J257" s="8">
        <f t="shared" si="29"/>
        <v>69.58023508769836</v>
      </c>
    </row>
    <row r="258" spans="1:10" ht="12">
      <c r="A258" s="2" t="s">
        <v>536</v>
      </c>
      <c r="B258" s="9">
        <v>20.93</v>
      </c>
      <c r="C258">
        <v>0</v>
      </c>
      <c r="D258">
        <v>0.16</v>
      </c>
      <c r="E258" s="9">
        <v>-1.17</v>
      </c>
      <c r="F258">
        <v>0</v>
      </c>
      <c r="G258" s="9">
        <f t="shared" si="30"/>
        <v>20.924024161954613</v>
      </c>
      <c r="H258" s="6">
        <f>10^G258*CO3FREE^3</f>
        <v>1981145.7354433297</v>
      </c>
      <c r="I258" s="9">
        <f>LOG10(SUM(H246:H258))</f>
        <v>6.822892079258212</v>
      </c>
      <c r="J258" s="8">
        <f t="shared" si="29"/>
        <v>29.78683396893467</v>
      </c>
    </row>
    <row r="259" spans="1:8" ht="12">
      <c r="A259" s="2" t="s">
        <v>584</v>
      </c>
      <c r="B259">
        <v>13.25</v>
      </c>
      <c r="G259">
        <v>11.29</v>
      </c>
      <c r="H259" s="6" t="s">
        <v>585</v>
      </c>
    </row>
    <row r="260" ht="12">
      <c r="A260" s="2" t="s">
        <v>59</v>
      </c>
    </row>
    <row r="261" spans="1:10" ht="12">
      <c r="A261" s="2" t="s">
        <v>586</v>
      </c>
      <c r="B261" s="9"/>
      <c r="E261" s="9"/>
      <c r="H261">
        <v>1</v>
      </c>
      <c r="J261" s="8">
        <f>100*H261/10^$I$265</f>
        <v>2.3785497084491536E-05</v>
      </c>
    </row>
    <row r="262" spans="1:10" ht="12">
      <c r="A262" s="2" t="s">
        <v>540</v>
      </c>
      <c r="B262" s="9">
        <v>14.26</v>
      </c>
      <c r="C262">
        <v>2.24</v>
      </c>
      <c r="D262">
        <v>0</v>
      </c>
      <c r="E262" s="9">
        <v>0.07</v>
      </c>
      <c r="F262">
        <v>-6</v>
      </c>
      <c r="G262" s="9">
        <f>B262+0.511*F262*IEFF^0.5/(1+C262*IEFF^0.5)+E262*IEFF+D262*IEFF^2</f>
        <v>14.071419845612677</v>
      </c>
      <c r="H262" s="6">
        <f>10^G262*HFREE</f>
        <v>1164121.1879128297</v>
      </c>
      <c r="J262" s="8">
        <f>100*H262/10^$I$265</f>
        <v>27.689201121095433</v>
      </c>
    </row>
    <row r="263" spans="1:10" ht="12">
      <c r="A263" s="2" t="s">
        <v>587</v>
      </c>
      <c r="B263" s="9">
        <v>22.81</v>
      </c>
      <c r="C263">
        <v>2.16</v>
      </c>
      <c r="D263">
        <v>0</v>
      </c>
      <c r="E263" s="9">
        <v>0.03</v>
      </c>
      <c r="F263">
        <v>-10</v>
      </c>
      <c r="G263" s="9">
        <f>B263+0.511*F263*IEFF^0.5/(1+C263*IEFF^0.5)+E263*IEFF+D263*IEFF^2</f>
        <v>22.493696682759357</v>
      </c>
      <c r="H263" s="6">
        <f>10^G263*HFREE^2</f>
        <v>3039858.5748739378</v>
      </c>
      <c r="J263" s="8">
        <f>100*H263/10^$I$265</f>
        <v>72.30454726993064</v>
      </c>
    </row>
    <row r="264" spans="1:10" ht="12">
      <c r="A264" s="2" t="s">
        <v>588</v>
      </c>
      <c r="B264" s="9">
        <v>26.81</v>
      </c>
      <c r="C264">
        <v>2.28</v>
      </c>
      <c r="D264">
        <v>0</v>
      </c>
      <c r="E264" s="9">
        <v>0.24</v>
      </c>
      <c r="F264">
        <v>-12</v>
      </c>
      <c r="G264" s="9">
        <f>B264+0.511*F264*IEFF^0.5/(1+C264*IEFF^0.5)+E264*IEFF+D264*IEFF^2</f>
        <v>26.434279956281088</v>
      </c>
      <c r="H264" s="6">
        <f>10^G264*HFREE^3</f>
        <v>261.82734437682</v>
      </c>
      <c r="J264" s="8">
        <f>100*H264/10^$I$265</f>
        <v>0.0062276935363150135</v>
      </c>
    </row>
    <row r="265" spans="1:10" ht="12">
      <c r="A265" s="2" t="s">
        <v>589</v>
      </c>
      <c r="B265" s="9">
        <v>30.11</v>
      </c>
      <c r="C265">
        <v>3.42</v>
      </c>
      <c r="D265">
        <v>0</v>
      </c>
      <c r="E265" s="9">
        <v>0.27</v>
      </c>
      <c r="F265">
        <v>-12</v>
      </c>
      <c r="G265" s="9">
        <f>B265+0.511*F265*IEFF^0.5/(1+C265*IEFF^0.5)+E265*IEFF+D265*IEFF^2</f>
        <v>29.75911908574299</v>
      </c>
      <c r="H265" s="6">
        <f>10^G265*HFREE^4</f>
        <v>0.005463016075921322</v>
      </c>
      <c r="I265" s="9">
        <f>LOG10(SUM(H261:H265))</f>
        <v>6.623687767986106</v>
      </c>
      <c r="J265" s="8">
        <f>100*H265/10^$I$265</f>
        <v>1.2994055294635699E-07</v>
      </c>
    </row>
    <row r="266" ht="12">
      <c r="A266" s="1" t="s">
        <v>59</v>
      </c>
    </row>
    <row r="267" spans="1:10" ht="12">
      <c r="A267" s="2" t="s">
        <v>540</v>
      </c>
      <c r="B267" s="9"/>
      <c r="E267" s="9"/>
      <c r="H267">
        <v>1</v>
      </c>
      <c r="J267" s="8">
        <f>100*H267/10^$I$269</f>
        <v>97.22005230561928</v>
      </c>
    </row>
    <row r="268" spans="1:10" ht="12">
      <c r="A268" s="2" t="s">
        <v>544</v>
      </c>
      <c r="B268" s="9">
        <v>1.16</v>
      </c>
      <c r="C268">
        <v>1.44</v>
      </c>
      <c r="D268">
        <v>0</v>
      </c>
      <c r="E268" s="9">
        <v>-0.02</v>
      </c>
      <c r="F268">
        <v>-4</v>
      </c>
      <c r="G268" s="9">
        <f>B268+0.511*F268*IEFF^0.5/(1+C268*IEFF^0.5)+E268*IEFF+D268*IEFF^2</f>
        <v>1.0274075356272963</v>
      </c>
      <c r="H268" s="6">
        <f>10^G268*NAFREE</f>
        <v>0.02825418757106998</v>
      </c>
      <c r="J268" s="8">
        <f>100*H268/10^$I$269</f>
        <v>2.7468735935122015</v>
      </c>
    </row>
    <row r="269" spans="1:10" ht="12">
      <c r="A269" s="2" t="s">
        <v>548</v>
      </c>
      <c r="B269" s="9">
        <v>0.9</v>
      </c>
      <c r="C269">
        <v>1.44</v>
      </c>
      <c r="D269">
        <v>0</v>
      </c>
      <c r="E269" s="9">
        <v>-0.02</v>
      </c>
      <c r="F269">
        <v>-4</v>
      </c>
      <c r="G269" s="9">
        <f>B269+0.511*F269*IEFF^0.5/(1+C269*IEFF^0.5)+E269*IEFF+D269*IEFF^2</f>
        <v>0.7674075356272965</v>
      </c>
      <c r="H269" s="6">
        <f>10^G269*KFREE</f>
        <v>0.0003401983447256947</v>
      </c>
      <c r="I269" s="9">
        <f>LOG10(SUM(H267:H269))</f>
        <v>0.012244149605482903</v>
      </c>
      <c r="J269" s="8">
        <f>100*H269/10^$I$269</f>
        <v>0.033074100868517135</v>
      </c>
    </row>
    <row r="270" ht="12">
      <c r="A270" s="2" t="s">
        <v>59</v>
      </c>
    </row>
    <row r="271" spans="1:10" ht="12">
      <c r="A271" s="2" t="s">
        <v>590</v>
      </c>
      <c r="B271" s="9"/>
      <c r="E271" s="9"/>
      <c r="H271">
        <v>1</v>
      </c>
      <c r="J271" s="8">
        <f>100*H271/10^$I$273</f>
        <v>99.9932492133114</v>
      </c>
    </row>
    <row r="272" spans="1:10" ht="12">
      <c r="A272" s="2" t="s">
        <v>591</v>
      </c>
      <c r="B272" s="9">
        <v>3.97</v>
      </c>
      <c r="C272">
        <v>1</v>
      </c>
      <c r="D272">
        <v>0</v>
      </c>
      <c r="E272" s="9">
        <v>0.18</v>
      </c>
      <c r="F272">
        <v>-4</v>
      </c>
      <c r="G272" s="9">
        <f>B272+0.511*F272*IEFF^0.5/(1+C272*IEFF^0.5)+E272*IEFF+D272*IEFF^2</f>
        <v>3.8345401524253133</v>
      </c>
      <c r="H272" s="6">
        <f>10^G272*HFREE</f>
        <v>6.747121030117736E-05</v>
      </c>
      <c r="J272" s="8">
        <f>100*H272/10^$I$273</f>
        <v>0.0067466655463693705</v>
      </c>
    </row>
    <row r="273" spans="1:10" ht="12">
      <c r="A273" s="2" t="s">
        <v>592</v>
      </c>
      <c r="B273" s="9">
        <v>8.83</v>
      </c>
      <c r="C273">
        <v>1</v>
      </c>
      <c r="D273">
        <v>0</v>
      </c>
      <c r="E273">
        <v>0.09</v>
      </c>
      <c r="F273">
        <v>-6</v>
      </c>
      <c r="G273" s="9">
        <f>B273+0.511*F273*IEFF^0.5/(1+C273*IEFF^0.5)+E273*IEFF+D273*IEFF^2</f>
        <v>8.62589022589591</v>
      </c>
      <c r="H273" s="6">
        <f>10^G273*HFREE^2</f>
        <v>4.12142045564481E-08</v>
      </c>
      <c r="I273" s="9">
        <f>LOG10(SUM(H271:H273))</f>
        <v>2.9319283725930898E-05</v>
      </c>
      <c r="J273" s="8">
        <f>100*H273/10^$I$273</f>
        <v>4.121142227341309E-06</v>
      </c>
    </row>
    <row r="274" ht="12">
      <c r="A274" s="2" t="s">
        <v>59</v>
      </c>
    </row>
    <row r="275" spans="1:10" ht="12">
      <c r="A275" s="2" t="s">
        <v>593</v>
      </c>
      <c r="B275" s="9"/>
      <c r="H275">
        <v>1</v>
      </c>
      <c r="J275" s="8">
        <f aca="true" t="shared" si="31" ref="J275:J291">100*H275/10^$I$291</f>
        <v>60.82696051372576</v>
      </c>
    </row>
    <row r="276" spans="1:10" ht="12">
      <c r="A276" s="2" t="s">
        <v>594</v>
      </c>
      <c r="B276" s="9">
        <v>-8.96</v>
      </c>
      <c r="C276">
        <v>2.17</v>
      </c>
      <c r="D276">
        <v>0</v>
      </c>
      <c r="E276">
        <v>0.12</v>
      </c>
      <c r="F276">
        <v>-2</v>
      </c>
      <c r="G276" s="9">
        <f>B276+0.511*F276*IEFF^0.5/(1+C276*IEFF^0.5)+E276*IEFF+D276*IEFF^2</f>
        <v>-9.022638823682088</v>
      </c>
      <c r="H276" s="6">
        <f>10^G276/HFREE</f>
        <v>0.09611315379127942</v>
      </c>
      <c r="J276" s="8">
        <f t="shared" si="31"/>
        <v>5.8462710105118045</v>
      </c>
    </row>
    <row r="277" spans="1:10" ht="12">
      <c r="A277" s="2" t="s">
        <v>595</v>
      </c>
      <c r="B277" s="9">
        <v>-16.9</v>
      </c>
      <c r="C277">
        <v>2.05</v>
      </c>
      <c r="D277">
        <v>0</v>
      </c>
      <c r="E277">
        <v>0.01</v>
      </c>
      <c r="F277">
        <v>-2</v>
      </c>
      <c r="G277" s="9">
        <f>B277+0.511*F277*IEFF^0.5/(1+C277*IEFF^0.5)+E277*IEFF+D277*IEFF^2</f>
        <v>-16.96367432800352</v>
      </c>
      <c r="H277" s="6">
        <f>10^G277/HFREE^2</f>
        <v>0.11147281684771354</v>
      </c>
      <c r="J277" s="8">
        <f t="shared" si="31"/>
        <v>6.780552628749655</v>
      </c>
    </row>
    <row r="278" spans="1:10" ht="12">
      <c r="A278" s="2" t="s">
        <v>596</v>
      </c>
      <c r="B278" s="9">
        <v>-28.4</v>
      </c>
      <c r="C278">
        <v>0</v>
      </c>
      <c r="D278">
        <v>-0.07</v>
      </c>
      <c r="E278">
        <v>0.06</v>
      </c>
      <c r="F278">
        <v>0</v>
      </c>
      <c r="G278" s="9">
        <f>B278+0.511*F278*IEFF^0.5/(1+C278*IEFF^0.5)+E278*IEFF+D278*IEFF^2</f>
        <v>-28.399695161072188</v>
      </c>
      <c r="H278" s="6">
        <f>10^G278/HFREE^3</f>
        <v>4.1358977596138006E-05</v>
      </c>
      <c r="J278" s="8">
        <f t="shared" si="31"/>
        <v>0.0025157408971283545</v>
      </c>
    </row>
    <row r="279" spans="1:10" ht="12">
      <c r="A279" s="2" t="s">
        <v>597</v>
      </c>
      <c r="B279" s="9">
        <v>-41.2</v>
      </c>
      <c r="C279">
        <v>1</v>
      </c>
      <c r="D279">
        <v>0</v>
      </c>
      <c r="E279">
        <v>-0.2</v>
      </c>
      <c r="F279">
        <v>4</v>
      </c>
      <c r="G279" s="9">
        <f>B279+0.511*F279*IEFF^0.5/(1+C279*IEFF^0.5)+E279*IEFF+D279*IEFF^2</f>
        <v>-41.06464237495221</v>
      </c>
      <c r="H279" s="6">
        <f>10^G279/HFREE^4</f>
        <v>9.05824853190489E-10</v>
      </c>
      <c r="J279" s="8">
        <f t="shared" si="31"/>
        <v>5.50985725773693E-08</v>
      </c>
    </row>
    <row r="280" spans="1:10" ht="12">
      <c r="A280" t="s">
        <v>598</v>
      </c>
      <c r="G280">
        <v>0.9</v>
      </c>
      <c r="H280" s="6">
        <f>10^G280*BOH4FREE</f>
        <v>1.0720324007248087E-06</v>
      </c>
      <c r="J280" s="8">
        <f t="shared" si="31"/>
        <v>6.520847250832257E-05</v>
      </c>
    </row>
    <row r="281" spans="1:12" ht="12">
      <c r="A281" s="2" t="s">
        <v>599</v>
      </c>
      <c r="G281">
        <v>3.32</v>
      </c>
      <c r="H281" s="6">
        <f>10^G281*BOH4FREE^2</f>
        <v>3.805535897940804E-11</v>
      </c>
      <c r="J281" s="8">
        <f t="shared" si="31"/>
        <v>2.314791817976112E-09</v>
      </c>
      <c r="L281" t="s">
        <v>600</v>
      </c>
    </row>
    <row r="282" spans="1:10" ht="12">
      <c r="A282" s="2" t="s">
        <v>601</v>
      </c>
      <c r="B282" s="9">
        <v>1.15</v>
      </c>
      <c r="C282">
        <v>3.54</v>
      </c>
      <c r="D282">
        <v>0</v>
      </c>
      <c r="E282">
        <v>0.05</v>
      </c>
      <c r="F282">
        <v>-4</v>
      </c>
      <c r="G282" s="9">
        <f aca="true" t="shared" si="32" ref="G282:G291">B282+0.511*F282*IEFF^0.5/(1+C282*IEFF^0.5)+E282*IEFF+D282*IEFF^2</f>
        <v>1.033639152376828</v>
      </c>
      <c r="H282" s="6">
        <f>10^G282*FFREE</f>
        <v>4.131358499753077E-06</v>
      </c>
      <c r="J282" s="8">
        <f t="shared" si="31"/>
        <v>0.0002512979803325257</v>
      </c>
    </row>
    <row r="283" spans="1:10" ht="12">
      <c r="A283" s="2" t="s">
        <v>602</v>
      </c>
      <c r="B283" s="9">
        <v>0.49</v>
      </c>
      <c r="C283">
        <v>1.2</v>
      </c>
      <c r="D283">
        <v>0</v>
      </c>
      <c r="E283">
        <v>0.21</v>
      </c>
      <c r="F283">
        <v>-4</v>
      </c>
      <c r="G283" s="9">
        <f t="shared" si="32"/>
        <v>0.3564894287980298</v>
      </c>
      <c r="H283" s="6">
        <f>10^G283*CLFREE</f>
        <v>0.00708476976974659</v>
      </c>
      <c r="J283" s="8">
        <f t="shared" si="31"/>
        <v>0.43094501103321375</v>
      </c>
    </row>
    <row r="284" spans="1:10" ht="12">
      <c r="A284" s="2" t="s">
        <v>603</v>
      </c>
      <c r="B284" s="9">
        <v>0.62</v>
      </c>
      <c r="C284">
        <v>2.86</v>
      </c>
      <c r="D284">
        <v>0</v>
      </c>
      <c r="E284">
        <v>0.03</v>
      </c>
      <c r="F284">
        <v>-6</v>
      </c>
      <c r="G284" s="9">
        <f t="shared" si="32"/>
        <v>0.4381684299140643</v>
      </c>
      <c r="H284" s="6">
        <f>10^G284*CLFREE^2</f>
        <v>2.6658828196161124E-05</v>
      </c>
      <c r="J284" s="8">
        <f t="shared" si="31"/>
        <v>0.0016215754900300917</v>
      </c>
    </row>
    <row r="285" spans="1:10" ht="12">
      <c r="A285" s="2" t="s">
        <v>604</v>
      </c>
      <c r="B285" s="9">
        <v>0.51</v>
      </c>
      <c r="C285">
        <v>0.65</v>
      </c>
      <c r="D285">
        <v>0</v>
      </c>
      <c r="E285">
        <v>0.77</v>
      </c>
      <c r="F285">
        <v>-6</v>
      </c>
      <c r="G285" s="9">
        <f t="shared" si="32"/>
        <v>0.3044743027864657</v>
      </c>
      <c r="H285" s="6">
        <f>10^G285*CLFREE^3</f>
        <v>6.109184506507382E-08</v>
      </c>
      <c r="J285" s="8">
        <f t="shared" si="31"/>
        <v>3.716031247483897E-06</v>
      </c>
    </row>
    <row r="286" spans="1:10" ht="12">
      <c r="A286" s="2" t="s">
        <v>605</v>
      </c>
      <c r="B286" s="9">
        <v>0.2</v>
      </c>
      <c r="C286">
        <v>3.65</v>
      </c>
      <c r="D286">
        <v>0</v>
      </c>
      <c r="E286">
        <v>0.47</v>
      </c>
      <c r="F286">
        <v>-4</v>
      </c>
      <c r="G286" s="9">
        <f t="shared" si="32"/>
        <v>0.08651312620072323</v>
      </c>
      <c r="H286" s="6">
        <f>10^G286*CLFREE^4</f>
        <v>1.1530771819657716E-10</v>
      </c>
      <c r="J286" s="8">
        <f t="shared" si="31"/>
        <v>7.013818021671016E-09</v>
      </c>
    </row>
    <row r="287" spans="1:10" ht="12">
      <c r="A287" s="2" t="s">
        <v>606</v>
      </c>
      <c r="B287" s="9">
        <v>2.36</v>
      </c>
      <c r="C287">
        <v>1.49</v>
      </c>
      <c r="D287">
        <v>0</v>
      </c>
      <c r="E287">
        <v>0.12</v>
      </c>
      <c r="F287">
        <v>-8</v>
      </c>
      <c r="G287" s="9">
        <f t="shared" si="32"/>
        <v>2.096488866994825</v>
      </c>
      <c r="H287" s="6">
        <f>10^G287*SO4FREE</f>
        <v>0.019198739374230892</v>
      </c>
      <c r="J287" s="8">
        <f t="shared" si="31"/>
        <v>1.1678009618296545</v>
      </c>
    </row>
    <row r="288" spans="1:10" ht="12">
      <c r="A288" s="2" t="s">
        <v>607</v>
      </c>
      <c r="B288" s="9">
        <v>3.63</v>
      </c>
      <c r="C288">
        <v>0.83</v>
      </c>
      <c r="D288">
        <v>0</v>
      </c>
      <c r="E288">
        <v>0.02</v>
      </c>
      <c r="F288">
        <v>-8</v>
      </c>
      <c r="G288" s="9">
        <f t="shared" si="32"/>
        <v>3.35421318235304</v>
      </c>
      <c r="H288" s="6">
        <f>10^G288*SO4FREE^2</f>
        <v>5.3429471017413345E-05</v>
      </c>
      <c r="J288" s="8">
        <f t="shared" si="31"/>
        <v>0.0032499523238454565</v>
      </c>
    </row>
    <row r="289" spans="1:11" ht="12">
      <c r="A289" s="2" t="s">
        <v>608</v>
      </c>
      <c r="B289" s="9">
        <v>2.7</v>
      </c>
      <c r="C289">
        <v>0</v>
      </c>
      <c r="D289">
        <v>0.16</v>
      </c>
      <c r="E289">
        <v>-1.17</v>
      </c>
      <c r="F289">
        <v>0</v>
      </c>
      <c r="G289" s="9">
        <f t="shared" si="32"/>
        <v>2.694024161954613</v>
      </c>
      <c r="H289" s="6">
        <f>10^G289*SO4FREE^3</f>
        <v>1.7962868892801473E-09</v>
      </c>
      <c r="J289" s="8">
        <f t="shared" si="31"/>
        <v>1.0926267168556679E-07</v>
      </c>
      <c r="K289" s="2" t="s">
        <v>609</v>
      </c>
    </row>
    <row r="290" spans="1:11" ht="12">
      <c r="A290" s="2" t="s">
        <v>610</v>
      </c>
      <c r="B290" s="9">
        <v>-0.82</v>
      </c>
      <c r="C290">
        <v>1.52</v>
      </c>
      <c r="D290">
        <v>0</v>
      </c>
      <c r="E290">
        <v>-0.73</v>
      </c>
      <c r="F290">
        <v>16</v>
      </c>
      <c r="G290" s="9">
        <f t="shared" si="32"/>
        <v>-0.2965041053367545</v>
      </c>
      <c r="H290" s="6">
        <f>10^G290*SO4FREE^4</f>
        <v>2.8224826361397437E-16</v>
      </c>
      <c r="J290" s="8">
        <f t="shared" si="31"/>
        <v>1.7168303985914876E-14</v>
      </c>
      <c r="K290" s="7" t="s">
        <v>611</v>
      </c>
    </row>
    <row r="291" spans="1:12" ht="12">
      <c r="A291" s="2" t="s">
        <v>612</v>
      </c>
      <c r="B291" s="9">
        <v>4.75</v>
      </c>
      <c r="C291">
        <v>1.63</v>
      </c>
      <c r="D291">
        <v>0</v>
      </c>
      <c r="E291">
        <v>0.05</v>
      </c>
      <c r="F291">
        <v>-8</v>
      </c>
      <c r="G291" s="9">
        <f t="shared" si="32"/>
        <v>4.488498772103412</v>
      </c>
      <c r="H291" s="6">
        <f>10^G291*CO3FREE</f>
        <v>0.4100116461291412</v>
      </c>
      <c r="I291" s="9">
        <f>LOG10(SUM(H275:H291))</f>
        <v>0.2159038844263875</v>
      </c>
      <c r="J291" s="8">
        <f t="shared" si="31"/>
        <v>24.939762209264973</v>
      </c>
      <c r="K291">
        <v>3.3</v>
      </c>
      <c r="L291" s="2" t="s">
        <v>613</v>
      </c>
    </row>
    <row r="292" spans="1:12" ht="12">
      <c r="A292" s="2" t="s">
        <v>614</v>
      </c>
      <c r="K292">
        <v>0.85</v>
      </c>
      <c r="L292" s="2" t="s">
        <v>613</v>
      </c>
    </row>
    <row r="293" spans="1:13" ht="12">
      <c r="A293" s="2" t="s">
        <v>59</v>
      </c>
      <c r="L293" s="3" t="s">
        <v>615</v>
      </c>
      <c r="M293" s="24">
        <f>10^I291</f>
        <v>1.6440078405271417</v>
      </c>
    </row>
    <row r="294" spans="1:10" ht="12">
      <c r="A294" s="2" t="s">
        <v>616</v>
      </c>
      <c r="B294" s="9"/>
      <c r="H294">
        <v>1</v>
      </c>
      <c r="J294" s="8">
        <f aca="true" t="shared" si="33" ref="J294:J311">100*H294/10^$I$311</f>
        <v>1.7118087454335783E-22</v>
      </c>
    </row>
    <row r="295" spans="1:10" ht="12">
      <c r="A295" s="2" t="s">
        <v>617</v>
      </c>
      <c r="B295" s="9">
        <v>0.3</v>
      </c>
      <c r="C295">
        <v>2.02</v>
      </c>
      <c r="D295">
        <v>0</v>
      </c>
      <c r="E295">
        <v>0.09</v>
      </c>
      <c r="F295">
        <v>-6</v>
      </c>
      <c r="G295" s="9">
        <f aca="true" t="shared" si="34" ref="G295:G311">B295+0.511*F295*IEFF^0.5/(1+C295*IEFF^0.5)+E295*IEFF+D295*IEFF^2</f>
        <v>0.10892539706931854</v>
      </c>
      <c r="H295" s="6">
        <f>10^G295/HFREE</f>
        <v>130120897.12296669</v>
      </c>
      <c r="J295" s="8">
        <f t="shared" si="33"/>
        <v>2.227420896587573E-14</v>
      </c>
    </row>
    <row r="296" spans="1:10" ht="12">
      <c r="A296" s="2" t="s">
        <v>618</v>
      </c>
      <c r="B296" s="9">
        <v>-1.7</v>
      </c>
      <c r="C296">
        <v>4.84</v>
      </c>
      <c r="D296">
        <v>0</v>
      </c>
      <c r="E296">
        <v>0.19</v>
      </c>
      <c r="F296">
        <v>-10</v>
      </c>
      <c r="G296" s="9">
        <f t="shared" si="34"/>
        <v>-1.9704396459156914</v>
      </c>
      <c r="H296" s="6">
        <f>10^G296/HFREE^2</f>
        <v>109749779837368.66</v>
      </c>
      <c r="J296" s="8">
        <f t="shared" si="33"/>
        <v>1.878706329350175E-08</v>
      </c>
    </row>
    <row r="297" spans="1:10" ht="12">
      <c r="A297" s="2" t="s">
        <v>619</v>
      </c>
      <c r="B297" s="9">
        <v>-5.1</v>
      </c>
      <c r="C297">
        <v>4.01</v>
      </c>
      <c r="D297">
        <v>0</v>
      </c>
      <c r="E297">
        <v>-0.11</v>
      </c>
      <c r="F297">
        <v>-12</v>
      </c>
      <c r="G297" s="9">
        <f t="shared" si="34"/>
        <v>-5.441275241188581</v>
      </c>
      <c r="H297" s="6">
        <f>10^G297/HFREE^3</f>
        <v>3.7582850312028544E+18</v>
      </c>
      <c r="J297" s="8">
        <f t="shared" si="33"/>
        <v>0.0006433465184245156</v>
      </c>
    </row>
    <row r="298" spans="1:10" ht="12">
      <c r="A298" s="2" t="s">
        <v>620</v>
      </c>
      <c r="B298">
        <v>-9.7</v>
      </c>
      <c r="C298">
        <v>4.11</v>
      </c>
      <c r="D298">
        <v>0</v>
      </c>
      <c r="E298">
        <v>-0.17</v>
      </c>
      <c r="F298">
        <v>-12</v>
      </c>
      <c r="G298" s="9">
        <f t="shared" si="34"/>
        <v>-10.039699261708103</v>
      </c>
      <c r="H298" s="6">
        <f>10^G298/HFREE^4</f>
        <v>9.593726769082787E+21</v>
      </c>
      <c r="J298" s="8">
        <f t="shared" si="33"/>
        <v>1.6422625384616143</v>
      </c>
    </row>
    <row r="299" spans="1:10" ht="12">
      <c r="A299" s="2" t="s">
        <v>621</v>
      </c>
      <c r="B299">
        <v>-16</v>
      </c>
      <c r="C299">
        <v>5.24</v>
      </c>
      <c r="D299">
        <v>0</v>
      </c>
      <c r="E299">
        <v>-0.39</v>
      </c>
      <c r="F299">
        <v>-10</v>
      </c>
      <c r="G299" s="9">
        <f t="shared" si="34"/>
        <v>-16.267757810576015</v>
      </c>
      <c r="H299" s="6">
        <f>10^G299/HFREE^5</f>
        <v>5.745799252317772E+23</v>
      </c>
      <c r="J299" s="8">
        <f t="shared" si="33"/>
        <v>98.35709409623277</v>
      </c>
    </row>
    <row r="300" spans="1:10" ht="12">
      <c r="A300" s="2" t="s">
        <v>622</v>
      </c>
      <c r="B300">
        <v>9.8</v>
      </c>
      <c r="C300">
        <v>2.15</v>
      </c>
      <c r="D300">
        <v>0</v>
      </c>
      <c r="E300">
        <v>0.29</v>
      </c>
      <c r="F300">
        <v>-8</v>
      </c>
      <c r="G300" s="9">
        <f t="shared" si="34"/>
        <v>9.54816002617686</v>
      </c>
      <c r="H300" s="6">
        <f>10^G300*FFREE</f>
        <v>1350.8706202835608</v>
      </c>
      <c r="J300" s="8">
        <f t="shared" si="33"/>
        <v>2.3124321417506816E-19</v>
      </c>
    </row>
    <row r="301" spans="1:10" ht="12">
      <c r="A301" s="2" t="s">
        <v>623</v>
      </c>
      <c r="B301">
        <v>17.88</v>
      </c>
      <c r="C301">
        <v>2.07</v>
      </c>
      <c r="D301">
        <v>0</v>
      </c>
      <c r="E301">
        <v>0.55</v>
      </c>
      <c r="F301">
        <v>-14</v>
      </c>
      <c r="G301" s="9">
        <f t="shared" si="34"/>
        <v>17.437288643749405</v>
      </c>
      <c r="H301" s="6">
        <f>10^G301*FFREE^2</f>
        <v>40012.53842925493</v>
      </c>
      <c r="J301" s="8">
        <f t="shared" si="33"/>
        <v>6.849381321019572E-18</v>
      </c>
    </row>
    <row r="302" spans="1:10" ht="12">
      <c r="A302" s="2" t="s">
        <v>624</v>
      </c>
      <c r="B302">
        <v>23.88</v>
      </c>
      <c r="C302">
        <v>2.79</v>
      </c>
      <c r="D302">
        <v>0</v>
      </c>
      <c r="E302">
        <v>0.58</v>
      </c>
      <c r="F302">
        <v>-18</v>
      </c>
      <c r="G302" s="9">
        <f t="shared" si="34"/>
        <v>23.33473188660666</v>
      </c>
      <c r="H302" s="6">
        <f>10^G302*FFREE^3</f>
        <v>12080.72719790552</v>
      </c>
      <c r="J302" s="8">
        <f t="shared" si="33"/>
        <v>2.067989446857196E-18</v>
      </c>
    </row>
    <row r="303" spans="1:10" ht="12">
      <c r="A303" s="2" t="s">
        <v>625</v>
      </c>
      <c r="B303">
        <v>31.86</v>
      </c>
      <c r="C303">
        <v>0.72</v>
      </c>
      <c r="D303">
        <v>0</v>
      </c>
      <c r="E303">
        <v>1.5</v>
      </c>
      <c r="F303">
        <v>-20</v>
      </c>
      <c r="G303" s="9">
        <f t="shared" si="34"/>
        <v>31.1727855494582</v>
      </c>
      <c r="H303" s="6">
        <f>10^G303*FFREE^4</f>
        <v>318126.956395248</v>
      </c>
      <c r="J303" s="8">
        <f t="shared" si="33"/>
        <v>5.445725061155522E-17</v>
      </c>
    </row>
    <row r="304" spans="1:10" ht="12">
      <c r="A304" s="2" t="s">
        <v>626</v>
      </c>
      <c r="B304">
        <v>25.86</v>
      </c>
      <c r="C304">
        <v>0.72</v>
      </c>
      <c r="D304">
        <v>0</v>
      </c>
      <c r="E304">
        <v>1.5</v>
      </c>
      <c r="F304">
        <v>-20</v>
      </c>
      <c r="G304" s="9">
        <f t="shared" si="34"/>
        <v>25.1727855494582</v>
      </c>
      <c r="H304" s="6">
        <f>10^G304*FFREE^5</f>
        <v>1.2163377923384953E-07</v>
      </c>
      <c r="J304" s="8">
        <f t="shared" si="33"/>
        <v>2.082137670326408E-29</v>
      </c>
    </row>
    <row r="305" spans="1:10" ht="12">
      <c r="A305" s="2" t="s">
        <v>627</v>
      </c>
      <c r="B305">
        <v>29.83</v>
      </c>
      <c r="C305">
        <v>0.72</v>
      </c>
      <c r="D305">
        <v>0</v>
      </c>
      <c r="E305">
        <v>1.5</v>
      </c>
      <c r="F305">
        <v>-18</v>
      </c>
      <c r="G305" s="9">
        <f t="shared" si="34"/>
        <v>29.212273663464096</v>
      </c>
      <c r="H305" s="6">
        <f>10^G305*FFREE^6</f>
        <v>5.093262327447477E-10</v>
      </c>
      <c r="J305" s="8">
        <f t="shared" si="33"/>
        <v>8.718690994911973E-32</v>
      </c>
    </row>
    <row r="306" spans="1:10" ht="12">
      <c r="A306" s="2" t="s">
        <v>628</v>
      </c>
      <c r="B306">
        <v>1.57</v>
      </c>
      <c r="C306">
        <v>2.16</v>
      </c>
      <c r="D306">
        <v>0</v>
      </c>
      <c r="E306">
        <v>0.08</v>
      </c>
      <c r="F306">
        <v>-8</v>
      </c>
      <c r="G306" s="9">
        <f t="shared" si="34"/>
        <v>1.317243569282793</v>
      </c>
      <c r="H306" s="9">
        <f>10^G306*CLFREE</f>
        <v>0.06472616593046769</v>
      </c>
      <c r="J306" s="8">
        <f t="shared" si="33"/>
        <v>1.1079881689815952E-23</v>
      </c>
    </row>
    <row r="307" spans="1:10" ht="12">
      <c r="A307" s="2" t="s">
        <v>629</v>
      </c>
      <c r="B307">
        <v>1.47</v>
      </c>
      <c r="C307">
        <v>2.07</v>
      </c>
      <c r="D307">
        <v>0</v>
      </c>
      <c r="E307">
        <v>0.55</v>
      </c>
      <c r="F307">
        <v>-14</v>
      </c>
      <c r="G307" s="9">
        <f t="shared" si="34"/>
        <v>1.0272886437494049</v>
      </c>
      <c r="H307" s="9">
        <f>10^G307*CLFREE^2</f>
        <v>0.00010350498569494861</v>
      </c>
      <c r="J307" s="8">
        <f t="shared" si="33"/>
        <v>1.7718073970859044E-26</v>
      </c>
    </row>
    <row r="308" spans="1:10" ht="12">
      <c r="A308" s="2" t="s">
        <v>630</v>
      </c>
      <c r="B308">
        <v>0.8</v>
      </c>
      <c r="C308">
        <v>2.79</v>
      </c>
      <c r="D308">
        <v>0</v>
      </c>
      <c r="E308">
        <v>0.58</v>
      </c>
      <c r="F308">
        <v>-18</v>
      </c>
      <c r="G308" s="9">
        <f t="shared" si="34"/>
        <v>0.25473188660666124</v>
      </c>
      <c r="H308" s="9">
        <f>10^G308*CLFREE^3</f>
        <v>5.448046748326541E-08</v>
      </c>
      <c r="J308" s="8">
        <f t="shared" si="33"/>
        <v>9.326014069316343E-30</v>
      </c>
    </row>
    <row r="309" spans="1:10" ht="12">
      <c r="A309" s="2" t="s">
        <v>631</v>
      </c>
      <c r="B309">
        <v>7.79</v>
      </c>
      <c r="C309">
        <v>1</v>
      </c>
      <c r="D309">
        <v>0</v>
      </c>
      <c r="E309">
        <v>0.34</v>
      </c>
      <c r="F309">
        <v>-16</v>
      </c>
      <c r="G309" s="9">
        <f t="shared" si="34"/>
        <v>7.246218381690237</v>
      </c>
      <c r="H309" s="12">
        <f>10^G309*SO4FREE</f>
        <v>2710.2055339749736</v>
      </c>
      <c r="J309" s="8">
        <f t="shared" si="33"/>
        <v>4.63935353498084E-19</v>
      </c>
    </row>
    <row r="310" spans="1:10" ht="12">
      <c r="A310" s="2" t="s">
        <v>632</v>
      </c>
      <c r="B310">
        <v>12.59</v>
      </c>
      <c r="C310">
        <v>1</v>
      </c>
      <c r="D310">
        <v>0</v>
      </c>
      <c r="E310">
        <v>0.55</v>
      </c>
      <c r="F310">
        <v>-20</v>
      </c>
      <c r="G310" s="9">
        <f t="shared" si="34"/>
        <v>11.910911867905892</v>
      </c>
      <c r="H310" s="6">
        <f>10^G310*SO4FREE^2</f>
        <v>19252.164329040053</v>
      </c>
      <c r="J310" s="8">
        <f t="shared" si="33"/>
        <v>3.2956023266975143E-18</v>
      </c>
    </row>
    <row r="311" spans="1:10" ht="12">
      <c r="A311" s="2" t="s">
        <v>633</v>
      </c>
      <c r="B311">
        <v>13.49</v>
      </c>
      <c r="C311">
        <v>1</v>
      </c>
      <c r="D311">
        <v>0</v>
      </c>
      <c r="E311">
        <v>0.55</v>
      </c>
      <c r="F311">
        <v>-24</v>
      </c>
      <c r="G311" s="9">
        <f t="shared" si="34"/>
        <v>12.674532017589145</v>
      </c>
      <c r="H311" s="8">
        <f>10^G311*SO4FREE^3</f>
        <v>17.174478383746617</v>
      </c>
      <c r="I311" s="9">
        <f>LOG10(SUM(H294:H311))</f>
        <v>23.76654475919316</v>
      </c>
      <c r="J311" s="8">
        <f t="shared" si="33"/>
        <v>2.939942229555741E-21</v>
      </c>
    </row>
    <row r="312" spans="1:10" ht="12">
      <c r="A312" s="2" t="s">
        <v>59</v>
      </c>
      <c r="J312" s="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14"/>
  <sheetViews>
    <sheetView tabSelected="1" workbookViewId="0" topLeftCell="A73">
      <selection activeCell="C81" sqref="C81"/>
    </sheetView>
  </sheetViews>
  <sheetFormatPr defaultColWidth="9.140625" defaultRowHeight="12.75"/>
  <cols>
    <col min="1" max="1" width="16.00390625" style="43" customWidth="1"/>
    <col min="2" max="2" width="12.140625" style="77" customWidth="1"/>
    <col min="3" max="3" width="10.00390625" style="43" customWidth="1"/>
    <col min="4" max="4" width="8.28125" style="43" customWidth="1"/>
    <col min="5" max="5" width="9.00390625" style="43" customWidth="1"/>
    <col min="6" max="6" width="9.140625" style="43" customWidth="1"/>
    <col min="7" max="7" width="12.28125" style="43" customWidth="1"/>
    <col min="8" max="9" width="9.140625" style="43" customWidth="1"/>
    <col min="10" max="10" width="8.57421875" style="43" customWidth="1"/>
    <col min="11" max="11" width="6.57421875" style="43" customWidth="1"/>
    <col min="12" max="16384" width="9.140625" style="43" customWidth="1"/>
  </cols>
  <sheetData>
    <row r="1" ht="12.75">
      <c r="A1" s="42" t="s">
        <v>650</v>
      </c>
    </row>
    <row r="2" ht="12.75">
      <c r="A2" s="44" t="s">
        <v>951</v>
      </c>
    </row>
    <row r="3" ht="12.75">
      <c r="A3" s="45" t="s">
        <v>967</v>
      </c>
    </row>
    <row r="4" ht="12.75">
      <c r="A4" s="45"/>
    </row>
    <row r="5" ht="12.75">
      <c r="A5" s="42" t="s">
        <v>651</v>
      </c>
    </row>
    <row r="6" ht="12.75">
      <c r="A6" s="42" t="s">
        <v>652</v>
      </c>
    </row>
    <row r="7" ht="15">
      <c r="A7" s="46" t="s">
        <v>653</v>
      </c>
    </row>
    <row r="8" ht="15">
      <c r="A8" s="47"/>
    </row>
    <row r="9" ht="15">
      <c r="A9" s="47"/>
    </row>
    <row r="10" spans="2:13" ht="12.75">
      <c r="B10" s="48" t="s">
        <v>91</v>
      </c>
      <c r="C10" s="44">
        <f>IonPairing!$F$176</f>
        <v>5.8334626255333406E-05</v>
      </c>
      <c r="D10" s="48" t="s">
        <v>89</v>
      </c>
      <c r="E10" s="74">
        <f>IonPairing!$E$176</f>
        <v>0.0002921350740257718</v>
      </c>
      <c r="F10" s="48" t="s">
        <v>85</v>
      </c>
      <c r="G10" s="75">
        <f>10^-PH</f>
        <v>9.875937849307112E-09</v>
      </c>
      <c r="H10" s="48" t="s">
        <v>87</v>
      </c>
      <c r="I10" s="73">
        <f>IonPairing!$D$176</f>
        <v>0.002652621518424258</v>
      </c>
      <c r="J10" s="48" t="s">
        <v>355</v>
      </c>
      <c r="K10" s="73">
        <f>IonPairing!$H$176</f>
        <v>4.888087507867127E-07</v>
      </c>
      <c r="L10" s="49" t="s">
        <v>654</v>
      </c>
      <c r="M10" s="43" t="s">
        <v>655</v>
      </c>
    </row>
    <row r="11" spans="2:14" ht="12.75">
      <c r="B11" s="43" t="s">
        <v>656</v>
      </c>
      <c r="C11" s="43">
        <f>10^10.61</f>
        <v>40738027780.41134</v>
      </c>
      <c r="D11" s="43" t="s">
        <v>657</v>
      </c>
      <c r="E11" s="43">
        <f>10^8.83</f>
        <v>676082975.3919824</v>
      </c>
      <c r="F11" s="43" t="s">
        <v>658</v>
      </c>
      <c r="G11" s="43">
        <f>10^10.17</f>
        <v>14791083881.682108</v>
      </c>
      <c r="H11" s="50"/>
      <c r="L11" s="49" t="s">
        <v>654</v>
      </c>
      <c r="M11" s="43" t="s">
        <v>345</v>
      </c>
      <c r="N11" s="43" t="s">
        <v>659</v>
      </c>
    </row>
    <row r="12" spans="1:28" ht="12.75">
      <c r="A12" s="48" t="s">
        <v>660</v>
      </c>
      <c r="B12" s="73">
        <f>IonPairing!$B$192</f>
        <v>0.2</v>
      </c>
      <c r="D12" s="43" t="s">
        <v>952</v>
      </c>
      <c r="L12" s="49" t="s">
        <v>654</v>
      </c>
      <c r="M12" s="43" t="s">
        <v>347</v>
      </c>
      <c r="N12" s="49" t="s">
        <v>661</v>
      </c>
      <c r="O12" s="49" t="s">
        <v>662</v>
      </c>
      <c r="P12" s="49" t="s">
        <v>663</v>
      </c>
      <c r="Q12" s="49" t="s">
        <v>664</v>
      </c>
      <c r="Y12" s="43" t="s">
        <v>665</v>
      </c>
      <c r="Z12" s="51">
        <v>1E-07</v>
      </c>
      <c r="AA12" s="51">
        <v>2E-07</v>
      </c>
      <c r="AB12" s="51">
        <v>3E-07</v>
      </c>
    </row>
    <row r="13" spans="1:28" ht="12.75">
      <c r="A13" s="48" t="s">
        <v>950</v>
      </c>
      <c r="B13" s="86">
        <f>IonPairing!$E$191</f>
        <v>8.005421651808948</v>
      </c>
      <c r="L13" s="49" t="s">
        <v>654</v>
      </c>
      <c r="Z13" s="43" t="s">
        <v>666</v>
      </c>
      <c r="AA13" s="43" t="s">
        <v>666</v>
      </c>
      <c r="AB13" s="43" t="s">
        <v>666</v>
      </c>
    </row>
    <row r="14" spans="1:12" ht="12.75">
      <c r="A14" s="48"/>
      <c r="B14" s="78"/>
      <c r="L14" s="49"/>
    </row>
    <row r="15" spans="1:25" ht="12.75">
      <c r="A15" s="42" t="s">
        <v>691</v>
      </c>
      <c r="G15" s="43" t="s">
        <v>667</v>
      </c>
      <c r="H15" s="43">
        <v>18.7</v>
      </c>
      <c r="J15" s="43" t="s">
        <v>668</v>
      </c>
      <c r="K15" s="43" t="s">
        <v>669</v>
      </c>
      <c r="L15" s="49" t="s">
        <v>654</v>
      </c>
      <c r="M15" s="43">
        <v>0.1</v>
      </c>
      <c r="N15" s="43">
        <v>-0.14</v>
      </c>
      <c r="O15" s="43">
        <v>-0.5</v>
      </c>
      <c r="P15" s="43">
        <v>-1.1</v>
      </c>
      <c r="Q15" s="43">
        <v>-1.94</v>
      </c>
      <c r="T15" s="43" t="s">
        <v>670</v>
      </c>
      <c r="U15" s="43">
        <v>16.44</v>
      </c>
      <c r="W15" s="43" t="s">
        <v>668</v>
      </c>
      <c r="X15" s="43" t="s">
        <v>671</v>
      </c>
      <c r="Y15" s="43" t="s">
        <v>672</v>
      </c>
    </row>
    <row r="16" spans="1:28" ht="12.75">
      <c r="A16" s="43" t="s">
        <v>673</v>
      </c>
      <c r="G16" s="43" t="s">
        <v>674</v>
      </c>
      <c r="H16" s="50">
        <f>H15-C18</f>
        <v>12.289375892819276</v>
      </c>
      <c r="J16" s="43">
        <v>1E-06</v>
      </c>
      <c r="K16" s="43">
        <f>LOG10(J16*10^$H$16)</f>
        <v>6.289375892819278</v>
      </c>
      <c r="L16" s="49" t="s">
        <v>654</v>
      </c>
      <c r="M16" s="43">
        <v>0.7</v>
      </c>
      <c r="N16" s="43">
        <v>-0.37</v>
      </c>
      <c r="O16" s="43">
        <v>-1.05</v>
      </c>
      <c r="P16" s="43">
        <v>-2.19</v>
      </c>
      <c r="Q16" s="43">
        <v>-3.78</v>
      </c>
      <c r="T16" s="43" t="s">
        <v>675</v>
      </c>
      <c r="U16" s="50">
        <f>U15-C18</f>
        <v>10.029375892819278</v>
      </c>
      <c r="W16" s="43">
        <v>1E-06</v>
      </c>
      <c r="X16" s="50">
        <f aca="true" t="shared" si="0" ref="X16:X24">LOG10(W16*10^$U$16)</f>
        <v>4.029375892819279</v>
      </c>
      <c r="Y16" s="50">
        <f aca="true" t="shared" si="1" ref="Y16:Y24">W16*10^$U$16</f>
        <v>10699.80573711364</v>
      </c>
      <c r="Z16" s="50">
        <f aca="true" t="shared" si="2" ref="Z16:Z24">-LOG10($Z$12/Y16)</f>
        <v>11.02937589281928</v>
      </c>
      <c r="AA16" s="50">
        <f aca="true" t="shared" si="3" ref="AA16:AA24">-LOG10($AA$12/Y16)</f>
        <v>10.728345897155299</v>
      </c>
      <c r="AB16" s="50">
        <f aca="true" t="shared" si="4" ref="AB16:AB24">-LOG10($AB$12/Y16)</f>
        <v>10.552254638099617</v>
      </c>
    </row>
    <row r="17" spans="1:28" ht="12.75">
      <c r="A17" s="43" t="s">
        <v>954</v>
      </c>
      <c r="C17" s="52">
        <f>1+CAFREE*C11+MGFREE*E11+H+FREE*G11</f>
        <v>2574092.250838525</v>
      </c>
      <c r="G17" s="43" t="s">
        <v>676</v>
      </c>
      <c r="J17" s="43">
        <v>2E-06</v>
      </c>
      <c r="K17" s="43">
        <f>LOG10(J17*10^$H$16)</f>
        <v>6.590405888483259</v>
      </c>
      <c r="L17" s="49" t="s">
        <v>654</v>
      </c>
      <c r="R17" s="43" t="s">
        <v>677</v>
      </c>
      <c r="T17" s="43" t="s">
        <v>676</v>
      </c>
      <c r="W17" s="43">
        <v>2E-06</v>
      </c>
      <c r="X17" s="50">
        <f t="shared" si="0"/>
        <v>4.33040588848326</v>
      </c>
      <c r="Y17" s="50">
        <f t="shared" si="1"/>
        <v>21399.61147422728</v>
      </c>
      <c r="Z17" s="50">
        <f t="shared" si="2"/>
        <v>11.330405888483261</v>
      </c>
      <c r="AA17" s="50">
        <f t="shared" si="3"/>
        <v>11.02937589281928</v>
      </c>
      <c r="AB17" s="50">
        <f t="shared" si="4"/>
        <v>10.853284633763598</v>
      </c>
    </row>
    <row r="18" spans="1:28" ht="12.75">
      <c r="A18" s="43" t="s">
        <v>955</v>
      </c>
      <c r="C18" s="53">
        <f>LOG10(C17)</f>
        <v>6.410624107180723</v>
      </c>
      <c r="G18" s="43" t="s">
        <v>678</v>
      </c>
      <c r="J18" s="52">
        <v>1.1E-08</v>
      </c>
      <c r="K18" s="43">
        <f>LOG10(J18*10^$H$16)</f>
        <v>4.330768577977502</v>
      </c>
      <c r="L18" s="54">
        <f>10^K18</f>
        <v>21417.490255464225</v>
      </c>
      <c r="M18" s="43" t="s">
        <v>679</v>
      </c>
      <c r="N18" s="43" t="s">
        <v>680</v>
      </c>
      <c r="R18" s="43" t="s">
        <v>674</v>
      </c>
      <c r="T18" s="43" t="s">
        <v>681</v>
      </c>
      <c r="W18" s="43">
        <v>5E-06</v>
      </c>
      <c r="X18" s="50">
        <f t="shared" si="0"/>
        <v>4.7283458971552985</v>
      </c>
      <c r="Y18" s="50">
        <f t="shared" si="1"/>
        <v>53499.028685568206</v>
      </c>
      <c r="Z18" s="50">
        <f t="shared" si="2"/>
        <v>11.728345897155299</v>
      </c>
      <c r="AA18" s="50">
        <f t="shared" si="3"/>
        <v>11.427315901491317</v>
      </c>
      <c r="AB18" s="50">
        <f t="shared" si="4"/>
        <v>11.251224642435636</v>
      </c>
    </row>
    <row r="19" spans="2:28" ht="12.75">
      <c r="B19" s="79"/>
      <c r="W19" s="51">
        <v>1E-05</v>
      </c>
      <c r="X19" s="50">
        <f t="shared" si="0"/>
        <v>5.029375892819279</v>
      </c>
      <c r="Y19" s="50">
        <f t="shared" si="1"/>
        <v>106998.05737113641</v>
      </c>
      <c r="Z19" s="50">
        <f t="shared" si="2"/>
        <v>12.02937589281928</v>
      </c>
      <c r="AA19" s="50">
        <f t="shared" si="3"/>
        <v>11.728345897155299</v>
      </c>
      <c r="AB19" s="50">
        <f t="shared" si="4"/>
        <v>11.552254638099617</v>
      </c>
    </row>
    <row r="20" spans="1:28" ht="12.75">
      <c r="A20" s="53" t="s">
        <v>682</v>
      </c>
      <c r="E20" s="49" t="s">
        <v>683</v>
      </c>
      <c r="F20" s="49">
        <v>7.49</v>
      </c>
      <c r="G20" s="43" t="s">
        <v>684</v>
      </c>
      <c r="W20" s="51">
        <v>2E-05</v>
      </c>
      <c r="X20" s="50">
        <f t="shared" si="0"/>
        <v>5.33040588848326</v>
      </c>
      <c r="Y20" s="50">
        <f t="shared" si="1"/>
        <v>213996.11474227282</v>
      </c>
      <c r="Z20" s="50">
        <f t="shared" si="2"/>
        <v>12.330405888483261</v>
      </c>
      <c r="AA20" s="50">
        <f t="shared" si="3"/>
        <v>12.02937589281928</v>
      </c>
      <c r="AB20" s="50">
        <f t="shared" si="4"/>
        <v>11.853284633763598</v>
      </c>
    </row>
    <row r="21" spans="1:28" ht="12.75">
      <c r="A21" s="53" t="s">
        <v>685</v>
      </c>
      <c r="C21" s="50">
        <v>25</v>
      </c>
      <c r="E21" s="55" t="s">
        <v>686</v>
      </c>
      <c r="F21" s="43">
        <v>9.41</v>
      </c>
      <c r="G21" s="43" t="s">
        <v>687</v>
      </c>
      <c r="W21" s="51">
        <v>3E-05</v>
      </c>
      <c r="X21" s="50">
        <f t="shared" si="0"/>
        <v>5.5064971475389415</v>
      </c>
      <c r="Y21" s="50">
        <f t="shared" si="1"/>
        <v>320994.1721134092</v>
      </c>
      <c r="Z21" s="50">
        <f t="shared" si="2"/>
        <v>12.506497147538942</v>
      </c>
      <c r="AA21" s="50">
        <f t="shared" si="3"/>
        <v>12.205467151874961</v>
      </c>
      <c r="AB21" s="50">
        <f t="shared" si="4"/>
        <v>12.02937589281928</v>
      </c>
    </row>
    <row r="22" spans="1:28" ht="12.75">
      <c r="A22" s="53" t="s">
        <v>688</v>
      </c>
      <c r="C22" s="50">
        <f>C21-C18</f>
        <v>18.589375892819277</v>
      </c>
      <c r="G22" s="43" t="s">
        <v>689</v>
      </c>
      <c r="W22" s="51">
        <v>4E-05</v>
      </c>
      <c r="X22" s="50">
        <f t="shared" si="0"/>
        <v>5.631435884147241</v>
      </c>
      <c r="Y22" s="50">
        <f t="shared" si="1"/>
        <v>427992.22948454565</v>
      </c>
      <c r="Z22" s="50">
        <f t="shared" si="2"/>
        <v>12.631435884147242</v>
      </c>
      <c r="AA22" s="50">
        <f t="shared" si="3"/>
        <v>12.330405888483261</v>
      </c>
      <c r="AB22" s="50">
        <f t="shared" si="4"/>
        <v>12.15431462942758</v>
      </c>
    </row>
    <row r="23" spans="7:28" ht="12.75">
      <c r="G23" s="56" t="s">
        <v>690</v>
      </c>
      <c r="W23" s="51">
        <v>5E-05</v>
      </c>
      <c r="X23" s="50">
        <f t="shared" si="0"/>
        <v>5.728345897155298</v>
      </c>
      <c r="Y23" s="50">
        <f t="shared" si="1"/>
        <v>534990.286855682</v>
      </c>
      <c r="Z23" s="50">
        <f t="shared" si="2"/>
        <v>12.728345897155299</v>
      </c>
      <c r="AA23" s="50">
        <f t="shared" si="3"/>
        <v>12.427315901491317</v>
      </c>
      <c r="AB23" s="50">
        <f t="shared" si="4"/>
        <v>12.251224642435636</v>
      </c>
    </row>
    <row r="24" spans="2:28" ht="12.75">
      <c r="B24" s="55" t="s">
        <v>691</v>
      </c>
      <c r="C24" s="57" t="s">
        <v>692</v>
      </c>
      <c r="D24" s="58" t="s">
        <v>693</v>
      </c>
      <c r="E24" s="58" t="s">
        <v>694</v>
      </c>
      <c r="F24" s="59" t="s">
        <v>695</v>
      </c>
      <c r="G24" s="59" t="s">
        <v>696</v>
      </c>
      <c r="I24" s="43" t="s">
        <v>697</v>
      </c>
      <c r="W24" s="51">
        <v>0.001</v>
      </c>
      <c r="X24" s="50">
        <f t="shared" si="0"/>
        <v>7.029375892819279</v>
      </c>
      <c r="Y24" s="50">
        <f t="shared" si="1"/>
        <v>10699805.73711364</v>
      </c>
      <c r="Z24" s="50">
        <f t="shared" si="2"/>
        <v>14.02937589281928</v>
      </c>
      <c r="AA24" s="50">
        <f t="shared" si="3"/>
        <v>13.728345897155299</v>
      </c>
      <c r="AB24" s="50">
        <f t="shared" si="4"/>
        <v>13.552254638099617</v>
      </c>
    </row>
    <row r="25" spans="2:10" ht="12.75">
      <c r="B25" s="80">
        <v>1E-06</v>
      </c>
      <c r="C25" s="61">
        <f>(B25*10^$C$22)</f>
        <v>3884864653449.177</v>
      </c>
      <c r="D25" s="62">
        <f>1/(10^$F$20*10^-PH)</f>
        <v>3.276586607441342</v>
      </c>
      <c r="E25" s="62">
        <f>1/(10^$F$21*10^-PH)*D25</f>
        <v>0.12907534770156198</v>
      </c>
      <c r="F25" s="61">
        <f>(C25+D25*C25+E25*C25)</f>
        <v>17115400404580.46</v>
      </c>
      <c r="G25" s="50">
        <f>LOG10(F25)</f>
        <v>13.233387063653021</v>
      </c>
      <c r="I25" s="50">
        <f>LOG10(C25)</f>
        <v>12.589375892819278</v>
      </c>
      <c r="J25" s="43" t="s">
        <v>953</v>
      </c>
    </row>
    <row r="26" spans="2:9" ht="12.75">
      <c r="B26" s="81">
        <v>5E-06</v>
      </c>
      <c r="C26" s="61">
        <f>(B26*10^$C$22)</f>
        <v>19424323267245.887</v>
      </c>
      <c r="D26" s="62">
        <f>1/(10^$F$20*10^-PH)</f>
        <v>3.276586607441342</v>
      </c>
      <c r="E26" s="62">
        <f>1/(10^$F$21*10^-PH)*D26</f>
        <v>0.12907534770156198</v>
      </c>
      <c r="F26" s="61">
        <f>(C26+D26*C26+E26*C26)</f>
        <v>85577002022902.31</v>
      </c>
      <c r="G26" s="50">
        <f>LOG10(F26)</f>
        <v>13.93235706798904</v>
      </c>
      <c r="I26" s="50">
        <f>LOG10(C26)</f>
        <v>13.288345897155297</v>
      </c>
    </row>
    <row r="27" spans="2:9" ht="12.75" customHeight="1">
      <c r="B27" s="80">
        <v>0.0001</v>
      </c>
      <c r="C27" s="61">
        <f>(B27*10^$C$22)</f>
        <v>388486465344917.75</v>
      </c>
      <c r="D27" s="62">
        <f>1/(10^$F$20*10^-PH)</f>
        <v>3.276586607441342</v>
      </c>
      <c r="E27" s="62">
        <f>1/(10^$F$21*10^-PH)*D27</f>
        <v>0.12907534770156198</v>
      </c>
      <c r="F27" s="61">
        <f>(C27+D27*C27+E27*C27)</f>
        <v>1711540040458046.2</v>
      </c>
      <c r="G27" s="50">
        <f>LOG10(F27)</f>
        <v>15.233387063653021</v>
      </c>
      <c r="I27" s="50">
        <f>LOG10(C27)</f>
        <v>14.589375892819278</v>
      </c>
    </row>
    <row r="28" spans="2:9" ht="12.75">
      <c r="B28" s="80">
        <v>0.001</v>
      </c>
      <c r="C28" s="61">
        <f>(B28*10^$C$22)</f>
        <v>3884864653449177</v>
      </c>
      <c r="D28" s="62">
        <f>1/(10^$F$20*10^-PH)</f>
        <v>3.276586607441342</v>
      </c>
      <c r="E28" s="62">
        <f>1/(10^$F$21*10^-PH)*D28</f>
        <v>0.12907534770156198</v>
      </c>
      <c r="F28" s="61">
        <f>(C28+D28*C28+E28*C28)</f>
        <v>17115400404580460</v>
      </c>
      <c r="G28" s="50">
        <f>LOG10(F28)</f>
        <v>16.233387063653023</v>
      </c>
      <c r="I28" s="50">
        <f>LOG10(C28)</f>
        <v>15.589375892819278</v>
      </c>
    </row>
    <row r="29" spans="2:9" ht="12.75">
      <c r="B29" s="80">
        <v>1.5E-05</v>
      </c>
      <c r="C29" s="61">
        <f>(B29*10^$C$22)</f>
        <v>58272969801737.66</v>
      </c>
      <c r="D29" s="62">
        <f>1/(10^$F$20*10^-PH)</f>
        <v>3.276586607441342</v>
      </c>
      <c r="E29" s="62">
        <f>1/(10^$F$21*10^-PH)*D29</f>
        <v>0.12907534770156198</v>
      </c>
      <c r="F29" s="61">
        <f>(C29+D29*C29+E29*C29)</f>
        <v>256731006068706.94</v>
      </c>
      <c r="G29" s="50">
        <f>LOG10(F29)</f>
        <v>14.409478322708702</v>
      </c>
      <c r="I29" s="50">
        <f>LOG10(C29)</f>
        <v>13.765467151874958</v>
      </c>
    </row>
    <row r="30" spans="1:6" ht="12.75">
      <c r="A30" s="60"/>
      <c r="B30" s="81"/>
      <c r="C30" s="62"/>
      <c r="D30" s="62"/>
      <c r="E30" s="61"/>
      <c r="F30" s="50"/>
    </row>
    <row r="31" spans="7:14" ht="12.75">
      <c r="G31" s="43" t="s">
        <v>706</v>
      </c>
      <c r="I31" s="43" t="s">
        <v>707</v>
      </c>
      <c r="K31" s="43" t="s">
        <v>708</v>
      </c>
      <c r="L31" s="43" t="s">
        <v>709</v>
      </c>
      <c r="N31" s="43" t="s">
        <v>710</v>
      </c>
    </row>
    <row r="32" spans="1:15" ht="12.75">
      <c r="A32" s="43" t="s">
        <v>711</v>
      </c>
      <c r="C32" s="43">
        <v>17.88</v>
      </c>
      <c r="D32" s="43" t="s">
        <v>668</v>
      </c>
      <c r="E32" s="43" t="s">
        <v>712</v>
      </c>
      <c r="G32" s="43" t="s">
        <v>713</v>
      </c>
      <c r="H32" s="43">
        <v>41.4</v>
      </c>
      <c r="I32" s="43">
        <v>16.26</v>
      </c>
      <c r="K32" s="43" t="s">
        <v>714</v>
      </c>
      <c r="L32" s="43">
        <v>18.56</v>
      </c>
      <c r="M32" s="64"/>
      <c r="N32" s="43" t="s">
        <v>715</v>
      </c>
      <c r="O32" s="65">
        <v>16.44</v>
      </c>
    </row>
    <row r="33" spans="1:15" ht="12.75">
      <c r="A33" s="43" t="s">
        <v>716</v>
      </c>
      <c r="C33" s="50">
        <f>C32-C18</f>
        <v>11.469375892819276</v>
      </c>
      <c r="D33" s="66">
        <v>2E-07</v>
      </c>
      <c r="E33" s="50">
        <f>LOG10(D33*10^C33)</f>
        <v>4.770405888483258</v>
      </c>
      <c r="G33" s="43" t="s">
        <v>717</v>
      </c>
      <c r="I33" s="50">
        <f>I32-C18</f>
        <v>9.849375892819278</v>
      </c>
      <c r="K33" s="43" t="s">
        <v>718</v>
      </c>
      <c r="L33" s="50">
        <f>C18</f>
        <v>6.410624107180723</v>
      </c>
      <c r="N33" s="43" t="s">
        <v>719</v>
      </c>
      <c r="O33" s="50">
        <f>O32-C18</f>
        <v>10.029375892819278</v>
      </c>
    </row>
    <row r="34" spans="1:14" ht="12.75">
      <c r="A34" s="43" t="s">
        <v>676</v>
      </c>
      <c r="D34" s="43">
        <v>2E-06</v>
      </c>
      <c r="E34" s="50">
        <f>LOG10(D34*10^C33)</f>
        <v>5.770405888483258</v>
      </c>
      <c r="G34" s="43" t="s">
        <v>691</v>
      </c>
      <c r="I34" s="43" t="s">
        <v>720</v>
      </c>
      <c r="J34" s="64"/>
      <c r="K34" s="43" t="s">
        <v>721</v>
      </c>
      <c r="L34" s="43" t="s">
        <v>722</v>
      </c>
      <c r="N34" s="43" t="s">
        <v>721</v>
      </c>
    </row>
    <row r="35" spans="4:15" ht="12.75">
      <c r="D35" s="43">
        <v>5E-06</v>
      </c>
      <c r="E35" s="50">
        <f>LOG10(D35*10^C33)</f>
        <v>6.168345897155295</v>
      </c>
      <c r="G35" s="52">
        <v>0.001</v>
      </c>
      <c r="I35" s="52">
        <f>G35*10^I33</f>
        <v>7069291.545465056</v>
      </c>
      <c r="J35" s="49"/>
      <c r="K35" s="43">
        <v>100</v>
      </c>
      <c r="L35" s="67">
        <f>K35*0.000000001*10^L33</f>
        <v>0.2574092250838528</v>
      </c>
      <c r="N35" s="68">
        <v>50000</v>
      </c>
      <c r="O35" s="52">
        <f>N35*0.000000001*10^O33</f>
        <v>534990.286855682</v>
      </c>
    </row>
    <row r="36" spans="1:6" ht="12.75">
      <c r="A36" s="60"/>
      <c r="B36" s="81"/>
      <c r="C36" s="62"/>
      <c r="D36" s="62"/>
      <c r="E36" s="61"/>
      <c r="F36" s="50"/>
    </row>
    <row r="37" ht="12.75">
      <c r="L37" s="49" t="s">
        <v>654</v>
      </c>
    </row>
    <row r="38" spans="1:19" ht="12.75">
      <c r="A38" s="42" t="s">
        <v>723</v>
      </c>
      <c r="B38" s="82">
        <v>2E-06</v>
      </c>
      <c r="L38" s="49" t="s">
        <v>654</v>
      </c>
      <c r="R38" s="50"/>
      <c r="S38" s="50"/>
    </row>
    <row r="39" spans="1:12" ht="12.75">
      <c r="A39" s="43" t="s">
        <v>724</v>
      </c>
      <c r="L39" s="49" t="s">
        <v>654</v>
      </c>
    </row>
    <row r="40" spans="1:12" ht="12.75">
      <c r="A40" s="43" t="s">
        <v>966</v>
      </c>
      <c r="C40" s="43">
        <f>1+CAFREE*10^$H$43+MGFREE*10^$H$42+NAFREE*10^$H$44+H+FREE*10^$F$40+H+FREE^2*10^$F$40*10^$F$41+H+FREE^3*10^$F$40*10^$F$41*10^$F$42</f>
        <v>274.5680478252271</v>
      </c>
      <c r="E40" s="43" t="s">
        <v>725</v>
      </c>
      <c r="F40" s="43">
        <v>9.65</v>
      </c>
      <c r="G40" s="43" t="s">
        <v>726</v>
      </c>
      <c r="H40" s="43">
        <v>12.94</v>
      </c>
      <c r="I40" s="43" t="s">
        <v>727</v>
      </c>
      <c r="J40" s="50">
        <f>$H$40-$C$41</f>
        <v>10.501350004100676</v>
      </c>
      <c r="L40" s="49" t="s">
        <v>654</v>
      </c>
    </row>
    <row r="41" spans="1:12" ht="12.75">
      <c r="A41" s="43" t="s">
        <v>728</v>
      </c>
      <c r="C41" s="53">
        <f>LOG10($C$40)</f>
        <v>2.4386499958993237</v>
      </c>
      <c r="E41" s="43" t="s">
        <v>729</v>
      </c>
      <c r="F41" s="43">
        <v>2.48</v>
      </c>
      <c r="G41" s="43" t="s">
        <v>730</v>
      </c>
      <c r="H41" s="43">
        <v>17.42</v>
      </c>
      <c r="I41" s="43" t="s">
        <v>730</v>
      </c>
      <c r="J41" s="50">
        <f>$H$41-2*$C$41</f>
        <v>12.542700008201354</v>
      </c>
      <c r="L41" s="49" t="s">
        <v>654</v>
      </c>
    </row>
    <row r="42" spans="1:12" ht="12.75">
      <c r="A42" s="43" t="s">
        <v>731</v>
      </c>
      <c r="E42" s="43" t="s">
        <v>732</v>
      </c>
      <c r="F42" s="43">
        <v>1.8</v>
      </c>
      <c r="G42" s="43" t="s">
        <v>733</v>
      </c>
      <c r="H42" s="43">
        <v>5.47</v>
      </c>
      <c r="L42" s="49" t="s">
        <v>654</v>
      </c>
    </row>
    <row r="43" spans="1:12" ht="12.75">
      <c r="A43" s="43" t="s">
        <v>734</v>
      </c>
      <c r="C43" s="53">
        <f>LOG10(10^$J$40*NTA+10^$J$41*NTA^2)</f>
        <v>4.8024755246549855</v>
      </c>
      <c r="G43" s="43" t="s">
        <v>735</v>
      </c>
      <c r="H43" s="43">
        <v>6.39</v>
      </c>
      <c r="L43" s="49" t="s">
        <v>654</v>
      </c>
    </row>
    <row r="44" spans="1:12" ht="12.75">
      <c r="A44" s="43" t="s">
        <v>736</v>
      </c>
      <c r="C44" s="12">
        <f>MetalSpeciation!$K$91</f>
        <v>11.7275823803607</v>
      </c>
      <c r="G44" s="43" t="s">
        <v>737</v>
      </c>
      <c r="H44" s="43">
        <v>1.22</v>
      </c>
      <c r="L44" s="49" t="s">
        <v>654</v>
      </c>
    </row>
    <row r="45" spans="1:12" ht="12.75">
      <c r="A45" s="43" t="s">
        <v>738</v>
      </c>
      <c r="C45" s="69">
        <f>10^C43/C44</f>
        <v>5410.869159029656</v>
      </c>
      <c r="L45" s="49"/>
    </row>
    <row r="46" ht="12.75">
      <c r="L46" s="49"/>
    </row>
    <row r="47" spans="1:5" ht="12.75">
      <c r="A47" s="43" t="s">
        <v>739</v>
      </c>
      <c r="C47" s="43">
        <v>15.9</v>
      </c>
      <c r="D47" s="43" t="s">
        <v>740</v>
      </c>
      <c r="E47" s="50">
        <f>C47-$C$41</f>
        <v>13.461350004100677</v>
      </c>
    </row>
    <row r="48" spans="1:5" ht="12.75">
      <c r="A48" s="43" t="s">
        <v>741</v>
      </c>
      <c r="C48" s="43">
        <v>24.3</v>
      </c>
      <c r="D48" s="43" t="s">
        <v>742</v>
      </c>
      <c r="E48" s="50">
        <f>C48-2*$C$41</f>
        <v>19.422700008201353</v>
      </c>
    </row>
    <row r="49" spans="1:4" ht="12.75">
      <c r="A49" s="43" t="s">
        <v>743</v>
      </c>
      <c r="B49" s="43" t="s">
        <v>744</v>
      </c>
      <c r="D49" s="43" t="s">
        <v>745</v>
      </c>
    </row>
    <row r="50" spans="1:12" ht="12.75">
      <c r="A50" s="43" t="s">
        <v>746</v>
      </c>
      <c r="B50" s="43" t="s">
        <v>747</v>
      </c>
      <c r="D50" s="43" t="s">
        <v>748</v>
      </c>
      <c r="E50" s="50">
        <f>LOG10(10^$E$47*NTA+10^$E$48*NTA^2+10^$E$47*NTA*10^(PH)/10^4.1+10^$E$48*NTA^2*10^(PH)/10^7.8)</f>
        <v>11.668112882204396</v>
      </c>
      <c r="F50" s="43" t="s">
        <v>749</v>
      </c>
      <c r="G50" s="43">
        <f>10^$E$47*NTA*10^PH/10^4.1</f>
        <v>465373502325.7916</v>
      </c>
      <c r="L50" s="49" t="s">
        <v>654</v>
      </c>
    </row>
    <row r="51" spans="4:5" ht="12.75">
      <c r="D51" s="43" t="s">
        <v>750</v>
      </c>
      <c r="E51" s="50">
        <f>LOG10(10^$E$47*NTA+10^$E$48*NTA^2)</f>
        <v>8.214120466781923</v>
      </c>
    </row>
    <row r="52" spans="4:12" ht="12.75">
      <c r="D52" s="43" t="s">
        <v>751</v>
      </c>
      <c r="E52" s="43">
        <v>8.1</v>
      </c>
      <c r="L52" s="49" t="s">
        <v>654</v>
      </c>
    </row>
    <row r="53" spans="1:12" ht="12.75">
      <c r="A53" s="43" t="s">
        <v>752</v>
      </c>
      <c r="G53" s="43" t="s">
        <v>753</v>
      </c>
      <c r="H53" s="43">
        <v>10.66</v>
      </c>
      <c r="I53" s="43" t="s">
        <v>754</v>
      </c>
      <c r="J53" s="50">
        <f>H53-C41</f>
        <v>8.221350004100676</v>
      </c>
      <c r="L53" s="49"/>
    </row>
    <row r="54" spans="1:12" ht="12.75">
      <c r="A54" s="43" t="s">
        <v>755</v>
      </c>
      <c r="C54" s="50">
        <f>LOG10(10^J53*NTA+10^J54*NTA^2)</f>
        <v>2.52237999998983</v>
      </c>
      <c r="G54" s="43" t="s">
        <v>756</v>
      </c>
      <c r="H54" s="43">
        <v>14.24</v>
      </c>
      <c r="I54" s="43" t="s">
        <v>756</v>
      </c>
      <c r="J54" s="50">
        <f>H54-2*$C$43</f>
        <v>4.635048950690029</v>
      </c>
      <c r="L54" s="49"/>
    </row>
    <row r="55" spans="1:12" ht="12.75">
      <c r="A55" s="43" t="s">
        <v>615</v>
      </c>
      <c r="C55" s="69">
        <f>MetalSpeciation!$M$293</f>
        <v>1.6440078405271417</v>
      </c>
      <c r="L55" s="49"/>
    </row>
    <row r="56" spans="1:12" ht="12.75">
      <c r="A56" s="43" t="s">
        <v>757</v>
      </c>
      <c r="C56" s="69">
        <f>10^C54/C55</f>
        <v>202.52382238670145</v>
      </c>
      <c r="L56" s="49"/>
    </row>
    <row r="57" ht="12.75">
      <c r="L57" s="49"/>
    </row>
    <row r="58" spans="1:12" ht="12.75">
      <c r="A58" s="42" t="s">
        <v>758</v>
      </c>
      <c r="B58" s="43" t="s">
        <v>968</v>
      </c>
      <c r="L58" s="49"/>
    </row>
    <row r="59" spans="1:12" ht="12.75">
      <c r="A59" s="43" t="s">
        <v>759</v>
      </c>
      <c r="B59" s="82">
        <v>0.02</v>
      </c>
      <c r="L59" s="49"/>
    </row>
    <row r="60" spans="1:12" ht="12.75">
      <c r="A60" s="43" t="s">
        <v>760</v>
      </c>
      <c r="L60" s="49"/>
    </row>
    <row r="61" spans="1:12" ht="12.75">
      <c r="A61" s="43" t="s">
        <v>965</v>
      </c>
      <c r="C61" s="69">
        <f>1+CAFREE*10^H65+MGFREE*10^H64+NAFREE*10^$H$44+H+FREE*10^$F$40+H+FREE^2*10^F62*10^F63+H+FREE^3*10^F62*10^F63*10^F64</f>
        <v>46.02751931667223</v>
      </c>
      <c r="E61" s="64"/>
      <c r="F61" s="64"/>
      <c r="G61" s="64"/>
      <c r="H61" s="64"/>
      <c r="I61" s="64"/>
      <c r="J61" s="64"/>
      <c r="L61" s="49"/>
    </row>
    <row r="62" spans="1:12" ht="12.75">
      <c r="A62" s="43" t="s">
        <v>761</v>
      </c>
      <c r="C62" s="53">
        <f>LOG10(C61)</f>
        <v>1.6630175689388962</v>
      </c>
      <c r="E62" s="43" t="s">
        <v>725</v>
      </c>
      <c r="F62" s="43">
        <v>5.69</v>
      </c>
      <c r="G62" s="43" t="s">
        <v>762</v>
      </c>
      <c r="H62" s="43">
        <v>5.9</v>
      </c>
      <c r="I62" s="43" t="s">
        <v>763</v>
      </c>
      <c r="J62" s="50">
        <f>H62-C62</f>
        <v>4.236982431061104</v>
      </c>
      <c r="L62" s="49"/>
    </row>
    <row r="63" spans="1:12" ht="12.75">
      <c r="A63" s="43" t="s">
        <v>764</v>
      </c>
      <c r="E63" s="43" t="s">
        <v>729</v>
      </c>
      <c r="F63" s="43">
        <v>4.35</v>
      </c>
      <c r="G63" s="43" t="s">
        <v>765</v>
      </c>
      <c r="I63" s="43" t="s">
        <v>765</v>
      </c>
      <c r="J63" s="50"/>
      <c r="L63" s="49"/>
    </row>
    <row r="64" spans="1:12" ht="12.75">
      <c r="A64" s="43" t="s">
        <v>766</v>
      </c>
      <c r="C64" s="53">
        <f>LOG10(10^J62*CIT+10^J63*CIT^2+1)</f>
        <v>2.5392693736580276</v>
      </c>
      <c r="E64" s="43" t="s">
        <v>732</v>
      </c>
      <c r="F64" s="43">
        <v>2.87</v>
      </c>
      <c r="G64" s="43" t="s">
        <v>767</v>
      </c>
      <c r="H64" s="43">
        <v>3.37</v>
      </c>
      <c r="L64" s="49"/>
    </row>
    <row r="65" spans="1:12" ht="12.75">
      <c r="A65" s="43" t="s">
        <v>768</v>
      </c>
      <c r="C65" s="50">
        <f>10^C64</f>
        <v>346.15401527926633</v>
      </c>
      <c r="G65" s="43" t="s">
        <v>769</v>
      </c>
      <c r="H65" s="43">
        <v>3.5</v>
      </c>
      <c r="L65" s="49"/>
    </row>
    <row r="66" spans="1:12" ht="12.75">
      <c r="A66" s="43" t="s">
        <v>770</v>
      </c>
      <c r="C66" s="50">
        <f>C65/C67</f>
        <v>29.5162296927408</v>
      </c>
      <c r="D66" s="28" t="s">
        <v>771</v>
      </c>
      <c r="G66" s="43" t="s">
        <v>772</v>
      </c>
      <c r="H66" s="43">
        <v>0.7</v>
      </c>
      <c r="L66" s="49"/>
    </row>
    <row r="67" spans="1:12" ht="12.75">
      <c r="A67" s="43" t="s">
        <v>736</v>
      </c>
      <c r="C67" s="50">
        <f>MetalSpeciation!$K$91</f>
        <v>11.7275823803607</v>
      </c>
      <c r="L67" s="49"/>
    </row>
    <row r="68" spans="2:12" ht="12.75">
      <c r="B68" s="83"/>
      <c r="L68" s="49"/>
    </row>
    <row r="69" spans="1:12" ht="12.75">
      <c r="A69" s="43" t="s">
        <v>773</v>
      </c>
      <c r="E69" s="43" t="s">
        <v>774</v>
      </c>
      <c r="F69" s="43">
        <v>4.98</v>
      </c>
      <c r="G69" s="43" t="s">
        <v>775</v>
      </c>
      <c r="H69" s="50">
        <f>F69-$C$62</f>
        <v>3.3169824310611045</v>
      </c>
      <c r="L69" s="49"/>
    </row>
    <row r="70" spans="1:12" ht="12.75">
      <c r="A70" s="43" t="s">
        <v>776</v>
      </c>
      <c r="C70" s="53">
        <f>LOG10(10^H69*CIT+1)</f>
        <v>1.6283540993907737</v>
      </c>
      <c r="L70" s="49"/>
    </row>
    <row r="71" spans="1:12" ht="12.75">
      <c r="A71" s="43" t="s">
        <v>777</v>
      </c>
      <c r="C71" s="69">
        <f>10^C70</f>
        <v>42.4965916129883</v>
      </c>
      <c r="L71" s="49"/>
    </row>
    <row r="72" spans="1:12" ht="12.75">
      <c r="A72" s="43" t="s">
        <v>778</v>
      </c>
      <c r="C72" s="69">
        <f>C71/C73</f>
        <v>25.849385000111685</v>
      </c>
      <c r="D72" s="28" t="s">
        <v>779</v>
      </c>
      <c r="L72" s="49"/>
    </row>
    <row r="73" spans="1:12" ht="12.75">
      <c r="A73" s="43" t="s">
        <v>615</v>
      </c>
      <c r="C73" s="69">
        <f>MetalSpeciation!$M$293</f>
        <v>1.6440078405271417</v>
      </c>
      <c r="L73" s="49"/>
    </row>
    <row r="74" spans="2:12" ht="12.75">
      <c r="B74" s="83"/>
      <c r="L74" s="49"/>
    </row>
    <row r="75" spans="2:12" ht="12.75">
      <c r="B75" s="83"/>
      <c r="L75" s="49"/>
    </row>
    <row r="76" spans="1:16" ht="12.75">
      <c r="A76" s="42" t="s">
        <v>780</v>
      </c>
      <c r="C76" s="43" t="s">
        <v>781</v>
      </c>
      <c r="D76" s="43">
        <f>10^5.7</f>
        <v>501187.23362727347</v>
      </c>
      <c r="E76" s="43" t="s">
        <v>782</v>
      </c>
      <c r="F76" s="43">
        <f>10^13</f>
        <v>10000000000000</v>
      </c>
      <c r="G76" s="43" t="s">
        <v>783</v>
      </c>
      <c r="H76" s="43">
        <f>10^9.24</f>
        <v>1737800828.7493825</v>
      </c>
      <c r="L76" s="49"/>
      <c r="O76" s="50"/>
      <c r="P76" s="50"/>
    </row>
    <row r="77" spans="1:12" ht="12.75">
      <c r="A77" s="43" t="s">
        <v>784</v>
      </c>
      <c r="L77" s="49"/>
    </row>
    <row r="78" spans="1:13" ht="12.75">
      <c r="A78" s="43" t="s">
        <v>785</v>
      </c>
      <c r="M78" s="49"/>
    </row>
    <row r="79" spans="3:4" ht="12.75">
      <c r="C79" s="43" t="s">
        <v>786</v>
      </c>
      <c r="D79" s="43" t="s">
        <v>787</v>
      </c>
    </row>
    <row r="80" spans="3:4" ht="12.75">
      <c r="C80" s="43">
        <f>1+MGFREE*$D$76+H+FREE*$F$76+H+FREE^2*$F$76*$H$76</f>
        <v>1793856.0321302018</v>
      </c>
      <c r="D80" s="53">
        <f>LOG10(C80)</f>
        <v>6.253787585329956</v>
      </c>
    </row>
    <row r="81" spans="1:2" ht="12.75">
      <c r="A81" s="43" t="s">
        <v>788</v>
      </c>
      <c r="B81" s="84">
        <v>0.001</v>
      </c>
    </row>
    <row r="82" ht="12.75">
      <c r="A82" s="43" t="s">
        <v>789</v>
      </c>
    </row>
    <row r="83" spans="1:5" ht="12.75">
      <c r="A83" s="43" t="s">
        <v>790</v>
      </c>
      <c r="E83" s="43" t="s">
        <v>791</v>
      </c>
    </row>
    <row r="84" spans="1:6" ht="12.75">
      <c r="A84" s="43" t="s">
        <v>792</v>
      </c>
      <c r="C84" s="43">
        <v>13.9</v>
      </c>
      <c r="E84" s="43" t="s">
        <v>793</v>
      </c>
      <c r="F84" s="43">
        <v>24.9</v>
      </c>
    </row>
    <row r="85" spans="1:6" ht="12.75">
      <c r="A85" s="43" t="s">
        <v>794</v>
      </c>
      <c r="C85" s="53">
        <f>$C$84-$D$80</f>
        <v>7.646212414670044</v>
      </c>
      <c r="E85" s="43" t="s">
        <v>795</v>
      </c>
      <c r="F85" s="53">
        <f>$F$84-2*$D$80</f>
        <v>12.392424829340086</v>
      </c>
    </row>
    <row r="86" spans="1:3" ht="12.75">
      <c r="A86" s="43" t="s">
        <v>796</v>
      </c>
      <c r="C86" s="50">
        <f>LOG10(10^$C$85*$B$81+10^$F$85*$B$81^2)</f>
        <v>6.400146395436444</v>
      </c>
    </row>
    <row r="87" spans="1:3" ht="12.75">
      <c r="A87" s="43" t="s">
        <v>797</v>
      </c>
      <c r="C87" s="66">
        <f>10^$C$86</f>
        <v>2512733.300883217</v>
      </c>
    </row>
    <row r="89" spans="1:11" ht="12.75">
      <c r="A89" s="43" t="s">
        <v>798</v>
      </c>
      <c r="K89" s="43" t="s">
        <v>799</v>
      </c>
    </row>
    <row r="90" spans="1:14" ht="12.75">
      <c r="A90" s="43" t="s">
        <v>800</v>
      </c>
      <c r="I90" s="43" t="s">
        <v>801</v>
      </c>
      <c r="M90" s="43" t="s">
        <v>485</v>
      </c>
      <c r="N90" s="43" t="s">
        <v>802</v>
      </c>
    </row>
    <row r="91" spans="1:14" ht="12.75">
      <c r="A91" s="43" t="s">
        <v>803</v>
      </c>
      <c r="E91" s="43" t="s">
        <v>804</v>
      </c>
      <c r="I91" s="43" t="s">
        <v>805</v>
      </c>
      <c r="J91" s="50">
        <f>$J$92-3*$D$80</f>
        <v>25.03863724401013</v>
      </c>
      <c r="M91" s="43" t="s">
        <v>806</v>
      </c>
      <c r="N91" s="43" t="s">
        <v>807</v>
      </c>
    </row>
    <row r="92" spans="1:14" ht="12.75">
      <c r="A92" s="43" t="s">
        <v>808</v>
      </c>
      <c r="C92" s="50">
        <f>$C$93-$D$80</f>
        <v>13.746212414670044</v>
      </c>
      <c r="E92" s="43" t="s">
        <v>809</v>
      </c>
      <c r="F92" s="50">
        <f>$F$93-2*$D$80</f>
        <v>22.19242482934009</v>
      </c>
      <c r="I92" s="43" t="s">
        <v>810</v>
      </c>
      <c r="J92" s="43">
        <v>43.8</v>
      </c>
      <c r="M92" s="43" t="s">
        <v>545</v>
      </c>
      <c r="N92" s="43" t="s">
        <v>811</v>
      </c>
    </row>
    <row r="93" spans="1:14" ht="12.75">
      <c r="A93" s="43" t="s">
        <v>812</v>
      </c>
      <c r="C93" s="43">
        <v>20</v>
      </c>
      <c r="E93" s="43" t="s">
        <v>813</v>
      </c>
      <c r="F93" s="43">
        <v>34.7</v>
      </c>
      <c r="M93" s="43" t="s">
        <v>549</v>
      </c>
      <c r="N93" s="43" t="s">
        <v>814</v>
      </c>
    </row>
    <row r="94" spans="1:14" ht="12.75">
      <c r="A94" s="43" t="s">
        <v>815</v>
      </c>
      <c r="C94" s="43">
        <f>10^$C$92*$B$81+10^F92*$B$81^2+$J$91*$B$81^3</f>
        <v>15574940053309198</v>
      </c>
      <c r="M94" s="43" t="s">
        <v>816</v>
      </c>
      <c r="N94" s="43" t="s">
        <v>817</v>
      </c>
    </row>
    <row r="95" spans="1:14" ht="12.75">
      <c r="A95" s="43" t="s">
        <v>818</v>
      </c>
      <c r="C95" s="50">
        <f>LOG10($C$94)</f>
        <v>16.192426383769916</v>
      </c>
      <c r="M95" s="43" t="s">
        <v>569</v>
      </c>
      <c r="N95" s="43" t="s">
        <v>819</v>
      </c>
    </row>
    <row r="96" ht="12.75">
      <c r="A96" s="42" t="s">
        <v>961</v>
      </c>
    </row>
    <row r="97" spans="1:11" ht="12.75">
      <c r="A97" s="43" t="s">
        <v>820</v>
      </c>
      <c r="E97" s="43" t="s">
        <v>821</v>
      </c>
      <c r="G97" s="43" t="s">
        <v>822</v>
      </c>
      <c r="I97" s="43" t="s">
        <v>823</v>
      </c>
      <c r="K97" s="43" t="s">
        <v>822</v>
      </c>
    </row>
    <row r="98" spans="1:11" ht="12.75">
      <c r="A98" s="43" t="s">
        <v>824</v>
      </c>
      <c r="C98" s="43">
        <v>17.02</v>
      </c>
      <c r="E98" s="43" t="s">
        <v>825</v>
      </c>
      <c r="G98" s="43">
        <v>12.85</v>
      </c>
      <c r="I98" s="43" t="s">
        <v>826</v>
      </c>
      <c r="K98" s="43">
        <v>15.62</v>
      </c>
    </row>
    <row r="99" spans="1:9" ht="12.75">
      <c r="A99" s="43" t="s">
        <v>827</v>
      </c>
      <c r="E99" s="43" t="s">
        <v>828</v>
      </c>
      <c r="I99" s="43" t="s">
        <v>829</v>
      </c>
    </row>
    <row r="100" spans="1:10" ht="12.75">
      <c r="A100" s="43" t="s">
        <v>830</v>
      </c>
      <c r="B100" s="77">
        <v>0.00025</v>
      </c>
      <c r="E100" s="43" t="s">
        <v>831</v>
      </c>
      <c r="F100" s="43">
        <f>$B$100^2*10^G98</f>
        <v>442466.1152400869</v>
      </c>
      <c r="I100" s="43" t="s">
        <v>832</v>
      </c>
      <c r="J100" s="43">
        <f>$B$100^2*10^K98</f>
        <v>260543364.66895962</v>
      </c>
    </row>
    <row r="101" spans="1:10" ht="12.75">
      <c r="A101" s="43" t="s">
        <v>833</v>
      </c>
      <c r="E101" s="43" t="s">
        <v>834</v>
      </c>
      <c r="F101" s="50">
        <f>LOG10(F100)</f>
        <v>5.6458800173440755</v>
      </c>
      <c r="I101" s="43" t="s">
        <v>835</v>
      </c>
      <c r="J101" s="50">
        <f>LOG10(J100)</f>
        <v>8.415880017344076</v>
      </c>
    </row>
    <row r="102" spans="1:3" ht="12.75">
      <c r="A102" s="43" t="s">
        <v>836</v>
      </c>
      <c r="C102" s="43">
        <f>$B$100^2*10^$C$98</f>
        <v>6544553425.318128</v>
      </c>
    </row>
    <row r="103" spans="1:3" ht="12.75">
      <c r="A103" s="43" t="s">
        <v>837</v>
      </c>
      <c r="C103" s="50">
        <f>LOG10($C$102)</f>
        <v>9.815880017344076</v>
      </c>
    </row>
    <row r="105" spans="1:2" ht="12.75">
      <c r="A105" s="42" t="s">
        <v>962</v>
      </c>
      <c r="B105" s="82">
        <v>2E-05</v>
      </c>
    </row>
    <row r="106" ht="12.75">
      <c r="A106" s="43" t="s">
        <v>838</v>
      </c>
    </row>
    <row r="107" ht="12.75">
      <c r="A107" s="43" t="s">
        <v>839</v>
      </c>
    </row>
    <row r="108" spans="1:7" ht="12.75">
      <c r="A108" s="43" t="s">
        <v>840</v>
      </c>
      <c r="C108" s="43">
        <v>4.31</v>
      </c>
      <c r="D108" s="43" t="s">
        <v>841</v>
      </c>
      <c r="E108" s="43">
        <v>9.66</v>
      </c>
      <c r="F108" s="43" t="s">
        <v>842</v>
      </c>
      <c r="G108" s="43">
        <v>4.99</v>
      </c>
    </row>
    <row r="109" spans="1:7" ht="12.75">
      <c r="A109" s="43" t="s">
        <v>843</v>
      </c>
      <c r="C109" s="50">
        <f>LOG10(1+10^$C$108*MGFREE+10^$E$108*H+FREE+10^$E$108*10^$G$108*H+FREE^2)</f>
        <v>1.7172538554225467</v>
      </c>
      <c r="G109" s="43" t="s">
        <v>844</v>
      </c>
    </row>
    <row r="110" spans="1:11" ht="12.75">
      <c r="A110" s="43" t="s">
        <v>845</v>
      </c>
      <c r="E110" s="50">
        <f>12.1-$C$109</f>
        <v>10.382746144577453</v>
      </c>
      <c r="G110" s="43" t="s">
        <v>846</v>
      </c>
      <c r="K110" s="50">
        <f>8.52-$C$109</f>
        <v>6.802746144577453</v>
      </c>
    </row>
    <row r="111" spans="1:11" ht="12.75">
      <c r="A111" s="43" t="s">
        <v>847</v>
      </c>
      <c r="E111" s="50">
        <f>23-2*$C$109</f>
        <v>19.565492289154907</v>
      </c>
      <c r="G111" s="43" t="s">
        <v>848</v>
      </c>
      <c r="K111" s="50">
        <f>15.8-2*$C$109</f>
        <v>12.365492289154908</v>
      </c>
    </row>
    <row r="112" spans="1:11" ht="12.75">
      <c r="A112" s="43" t="s">
        <v>849</v>
      </c>
      <c r="E112" s="43">
        <f>10^$E$110*$B$105+10^$E$111*$B$105^2</f>
        <v>14708437404.756744</v>
      </c>
      <c r="G112" s="43" t="s">
        <v>850</v>
      </c>
      <c r="K112" s="66">
        <f>10^K110*$B$105+10^K111*$B$105^2</f>
        <v>1055.0011322669147</v>
      </c>
    </row>
    <row r="113" spans="4:11" ht="12.75">
      <c r="D113" s="43" t="s">
        <v>851</v>
      </c>
      <c r="E113" s="50">
        <f>LOG10($E$112)</f>
        <v>10.167566536593045</v>
      </c>
      <c r="J113" s="43" t="s">
        <v>852</v>
      </c>
      <c r="K113" s="50">
        <f>LOG10(K112)</f>
        <v>3.023252925735142</v>
      </c>
    </row>
    <row r="114" spans="1:7" ht="12.75">
      <c r="A114" s="43" t="s">
        <v>853</v>
      </c>
      <c r="E114" s="50"/>
      <c r="G114" s="43" t="s">
        <v>854</v>
      </c>
    </row>
    <row r="115" spans="1:11" ht="12.75">
      <c r="A115" s="43" t="s">
        <v>855</v>
      </c>
      <c r="E115" s="50">
        <f>9.02-$C$109</f>
        <v>7.302746144577453</v>
      </c>
      <c r="G115" s="43" t="s">
        <v>856</v>
      </c>
      <c r="K115" s="50">
        <f>8.65-$C$109</f>
        <v>6.932746144577454</v>
      </c>
    </row>
    <row r="116" spans="1:11" ht="12.75">
      <c r="A116" s="43" t="s">
        <v>857</v>
      </c>
      <c r="E116" s="50"/>
      <c r="G116" s="43" t="s">
        <v>858</v>
      </c>
      <c r="K116" s="50"/>
    </row>
    <row r="117" spans="1:11" ht="12.75">
      <c r="A117" s="43" t="s">
        <v>859</v>
      </c>
      <c r="E117" s="50">
        <f>10^$E115*$B$105+10^$E116*$B$105^2</f>
        <v>401.58375867543185</v>
      </c>
      <c r="G117" s="43" t="s">
        <v>860</v>
      </c>
      <c r="K117" s="50">
        <f>10^K115*$B$105+10^K116*$B$105^2</f>
        <v>171.3074065345303</v>
      </c>
    </row>
    <row r="118" spans="4:11" ht="12.75">
      <c r="D118" s="43" t="s">
        <v>861</v>
      </c>
      <c r="E118" s="50">
        <f>LOG10($E117)</f>
        <v>2.6037761402418678</v>
      </c>
      <c r="J118" s="43" t="s">
        <v>862</v>
      </c>
      <c r="K118" s="50">
        <f>LOG10(K117)</f>
        <v>2.2337761402424503</v>
      </c>
    </row>
    <row r="119" spans="1:7" ht="12.75">
      <c r="A119" s="43" t="s">
        <v>863</v>
      </c>
      <c r="G119" s="43" t="s">
        <v>864</v>
      </c>
    </row>
    <row r="120" spans="1:12" ht="12.75">
      <c r="A120" s="43" t="s">
        <v>865</v>
      </c>
      <c r="E120" s="50">
        <f>9.27-$C$109</f>
        <v>7.552746144577453</v>
      </c>
      <c r="F120" s="43" t="s">
        <v>866</v>
      </c>
      <c r="G120" s="43" t="s">
        <v>867</v>
      </c>
      <c r="K120" s="50">
        <f>13.69-$C$109</f>
        <v>11.972746144577453</v>
      </c>
      <c r="L120" s="43" t="s">
        <v>868</v>
      </c>
    </row>
    <row r="121" spans="1:12" ht="12.75">
      <c r="A121" s="43" t="s">
        <v>869</v>
      </c>
      <c r="E121" s="50"/>
      <c r="G121" s="43" t="s">
        <v>870</v>
      </c>
      <c r="K121" s="50">
        <f>26.3-2*$C$109</f>
        <v>22.865492289154908</v>
      </c>
      <c r="L121" s="43" t="s">
        <v>868</v>
      </c>
    </row>
    <row r="122" spans="1:12" ht="12.75">
      <c r="A122" s="43" t="s">
        <v>871</v>
      </c>
      <c r="E122" s="50">
        <f>10^E120*$B$105+10^E121*$B$105^2</f>
        <v>714.1281294582495</v>
      </c>
      <c r="G122" s="43" t="s">
        <v>872</v>
      </c>
      <c r="K122" s="50">
        <f>36.9-3*$C$109</f>
        <v>31.748238433732357</v>
      </c>
      <c r="L122" s="43" t="s">
        <v>873</v>
      </c>
    </row>
    <row r="123" spans="4:11" ht="12.75">
      <c r="D123" s="43" t="s">
        <v>874</v>
      </c>
      <c r="E123" s="50">
        <f>LOG10(E122)</f>
        <v>2.853776140241679</v>
      </c>
      <c r="G123" s="43" t="s">
        <v>875</v>
      </c>
      <c r="K123" s="66">
        <f>10^K120*$B$105+10^K121*$B$105^2+10^K122*$B$105^3</f>
        <v>4.4808134673175155E+17</v>
      </c>
    </row>
    <row r="124" spans="10:11" ht="12.75">
      <c r="J124" s="43" t="s">
        <v>876</v>
      </c>
      <c r="K124" s="50">
        <f>LOG10(K123)</f>
        <v>17.651356864957258</v>
      </c>
    </row>
    <row r="125" ht="12.75">
      <c r="A125" s="42" t="s">
        <v>877</v>
      </c>
    </row>
    <row r="126" spans="1:2" ht="12.75">
      <c r="A126" s="43" t="s">
        <v>878</v>
      </c>
      <c r="B126" s="77">
        <v>0.0002</v>
      </c>
    </row>
    <row r="127" ht="12.75">
      <c r="A127" s="43" t="s">
        <v>879</v>
      </c>
    </row>
    <row r="128" ht="12.75">
      <c r="A128" s="43" t="s">
        <v>880</v>
      </c>
    </row>
    <row r="129" spans="1:3" ht="12.75">
      <c r="A129" s="43" t="s">
        <v>881</v>
      </c>
      <c r="C129" s="43">
        <v>3.82</v>
      </c>
    </row>
    <row r="130" spans="1:3" ht="12.75">
      <c r="A130" s="43" t="s">
        <v>882</v>
      </c>
      <c r="C130" s="43">
        <v>3.06</v>
      </c>
    </row>
    <row r="131" spans="1:3" ht="12.75">
      <c r="A131" s="43" t="s">
        <v>883</v>
      </c>
      <c r="C131" s="43">
        <v>2.45</v>
      </c>
    </row>
    <row r="132" spans="1:3" ht="12.75">
      <c r="A132" s="43" t="s">
        <v>884</v>
      </c>
      <c r="C132" s="43">
        <v>6.7</v>
      </c>
    </row>
    <row r="133" spans="1:3" ht="12.75">
      <c r="A133" s="43" t="s">
        <v>885</v>
      </c>
      <c r="C133" s="50">
        <f>LOG10(1+MGFREE*10^$C$129+CAFREE*10^$C$130+SRFREE*10^$C$131+10^-PH*10^$C$132)</f>
        <v>0.48383384213614844</v>
      </c>
    </row>
    <row r="134" spans="1:6" ht="12.75">
      <c r="A134" s="43" t="s">
        <v>886</v>
      </c>
      <c r="F134" s="43" t="s">
        <v>887</v>
      </c>
    </row>
    <row r="135" spans="1:8" ht="12.75">
      <c r="A135" s="43" t="s">
        <v>888</v>
      </c>
      <c r="H135" s="43" t="s">
        <v>889</v>
      </c>
    </row>
    <row r="136" spans="1:8" ht="12.75">
      <c r="A136" s="43" t="s">
        <v>890</v>
      </c>
      <c r="E136" s="43">
        <v>8.35</v>
      </c>
      <c r="F136" s="43" t="s">
        <v>891</v>
      </c>
      <c r="H136" s="43">
        <v>10.019</v>
      </c>
    </row>
    <row r="137" spans="1:6" ht="12.75">
      <c r="A137" s="43" t="s">
        <v>892</v>
      </c>
      <c r="E137" s="50">
        <f>$E$136-$C$133</f>
        <v>7.8661661578638515</v>
      </c>
      <c r="F137" s="43" t="s">
        <v>893</v>
      </c>
    </row>
    <row r="138" spans="1:8" ht="12.75">
      <c r="A138" s="43" t="s">
        <v>894</v>
      </c>
      <c r="E138" s="50">
        <f>10^$E$137*$B$126</f>
        <v>14695.89883015025</v>
      </c>
      <c r="F138" s="43" t="s">
        <v>895</v>
      </c>
      <c r="H138" s="50">
        <f>10^$E$137*$B$126+10^$H$136*$B$126^2</f>
        <v>15113.786917838572</v>
      </c>
    </row>
    <row r="139" spans="1:8" ht="12.75">
      <c r="A139" s="43" t="s">
        <v>896</v>
      </c>
      <c r="E139" s="50">
        <f>LOG10($E$138)</f>
        <v>4.167196153527834</v>
      </c>
      <c r="F139" s="43" t="s">
        <v>896</v>
      </c>
      <c r="H139" s="50">
        <f>LOG10(H138)</f>
        <v>4.1793732950116205</v>
      </c>
    </row>
    <row r="141" ht="12.75">
      <c r="A141" s="42" t="s">
        <v>963</v>
      </c>
    </row>
    <row r="142" ht="12.75">
      <c r="A142" s="43" t="s">
        <v>897</v>
      </c>
    </row>
    <row r="143" spans="1:4" ht="12.75">
      <c r="A143" s="43" t="s">
        <v>898</v>
      </c>
      <c r="D143" s="43">
        <v>4.4</v>
      </c>
    </row>
    <row r="144" spans="1:2" ht="12.75">
      <c r="A144" s="43" t="s">
        <v>899</v>
      </c>
      <c r="B144" s="85">
        <v>0.00015</v>
      </c>
    </row>
    <row r="145" spans="1:4" ht="12.75">
      <c r="A145" s="43" t="s">
        <v>900</v>
      </c>
      <c r="D145" s="50">
        <f>10^$D$143*[APDC]</f>
        <v>3.7678296472643784</v>
      </c>
    </row>
    <row r="146" spans="1:4" ht="12.75">
      <c r="A146" s="43" t="s">
        <v>901</v>
      </c>
      <c r="D146" s="43">
        <f>LOG10($D$145)</f>
        <v>0.5760912590556821</v>
      </c>
    </row>
    <row r="149" ht="12.75">
      <c r="A149" s="42" t="s">
        <v>902</v>
      </c>
    </row>
    <row r="150" spans="1:2" ht="12.75">
      <c r="A150" s="43" t="s">
        <v>903</v>
      </c>
      <c r="B150" s="77">
        <v>0.001</v>
      </c>
    </row>
    <row r="151" ht="12.75">
      <c r="A151" s="43" t="s">
        <v>904</v>
      </c>
    </row>
    <row r="152" ht="12.75">
      <c r="A152" s="43" t="s">
        <v>905</v>
      </c>
    </row>
    <row r="153" spans="1:3" ht="12.75">
      <c r="A153" s="43" t="s">
        <v>906</v>
      </c>
      <c r="C153" s="43">
        <v>0.37</v>
      </c>
    </row>
    <row r="154" spans="1:3" ht="12.75">
      <c r="A154" s="43" t="s">
        <v>907</v>
      </c>
      <c r="C154" s="43">
        <v>10.04</v>
      </c>
    </row>
    <row r="155" spans="1:3" ht="12.75">
      <c r="A155" s="43" t="s">
        <v>908</v>
      </c>
      <c r="C155" s="43">
        <v>7.31</v>
      </c>
    </row>
    <row r="156" spans="1:7" ht="12.75">
      <c r="A156" s="43" t="s">
        <v>909</v>
      </c>
      <c r="C156" s="43">
        <v>10.71</v>
      </c>
      <c r="E156" s="43" t="s">
        <v>910</v>
      </c>
      <c r="G156" s="50">
        <f>$C$156-$C$163</f>
        <v>8.671426766586178</v>
      </c>
    </row>
    <row r="157" spans="1:7" ht="12.75">
      <c r="A157" s="43" t="s">
        <v>911</v>
      </c>
      <c r="C157" s="43">
        <v>20.04</v>
      </c>
      <c r="E157" s="43" t="s">
        <v>912</v>
      </c>
      <c r="G157" s="50">
        <f>C157-$C$163*2</f>
        <v>15.962853533172353</v>
      </c>
    </row>
    <row r="158" spans="1:3" ht="12.75">
      <c r="A158" s="43" t="s">
        <v>913</v>
      </c>
      <c r="C158" s="43">
        <v>11.2</v>
      </c>
    </row>
    <row r="160" spans="1:3" ht="12.75">
      <c r="A160" s="43" t="s">
        <v>914</v>
      </c>
      <c r="C160" s="43">
        <v>5.87</v>
      </c>
    </row>
    <row r="161" spans="1:3" ht="12.75">
      <c r="A161" s="43" t="s">
        <v>915</v>
      </c>
      <c r="C161" s="43">
        <v>10.97</v>
      </c>
    </row>
    <row r="162" spans="1:3" ht="12.75">
      <c r="A162" s="43" t="s">
        <v>916</v>
      </c>
      <c r="C162" s="43">
        <v>13.03</v>
      </c>
    </row>
    <row r="163" spans="1:3" ht="12.75">
      <c r="A163" s="43" t="s">
        <v>917</v>
      </c>
      <c r="C163" s="50">
        <f>LOG10(1+MGFREE*10^$C$153+10^-PH*10^$C$154+10^(2*(-PH)))</f>
        <v>2.038573233413823</v>
      </c>
    </row>
    <row r="164" ht="12.75">
      <c r="A164" s="43" t="s">
        <v>918</v>
      </c>
    </row>
    <row r="165" spans="1:3" ht="12.75">
      <c r="A165" s="43" t="s">
        <v>919</v>
      </c>
      <c r="C165" s="50">
        <f>LOG10(1+$B$150*10^$G$156+$B$150^2*10^$G$157)</f>
        <v>9.962875732885886</v>
      </c>
    </row>
    <row r="167" spans="1:3" ht="12.75">
      <c r="A167" s="42" t="s">
        <v>920</v>
      </c>
      <c r="C167" s="43" t="s">
        <v>964</v>
      </c>
    </row>
    <row r="168" spans="1:3" ht="12.75">
      <c r="A168" s="43" t="s">
        <v>921</v>
      </c>
      <c r="C168" s="50">
        <f>10.12-0.37*LOG(SALINITY)</f>
        <v>10.378618901604327</v>
      </c>
    </row>
    <row r="169" spans="1:3" ht="12.75">
      <c r="A169" s="43" t="s">
        <v>922</v>
      </c>
      <c r="C169" s="50">
        <f>15.78-0.53*LOG(SALINITY)</f>
        <v>16.150454102298088</v>
      </c>
    </row>
    <row r="170" spans="1:2" ht="12.75">
      <c r="A170" s="43" t="s">
        <v>923</v>
      </c>
      <c r="B170" s="82">
        <v>1E-05</v>
      </c>
    </row>
    <row r="171" spans="1:3" ht="12.75">
      <c r="A171" s="43" t="s">
        <v>924</v>
      </c>
      <c r="C171" s="76">
        <f>1+B170*10^LGKCuSA+B170^2*10^LGBCUSA2</f>
        <v>1653137.9308346463</v>
      </c>
    </row>
    <row r="172" spans="1:3" ht="12.75">
      <c r="A172" s="43" t="s">
        <v>925</v>
      </c>
      <c r="C172" s="50">
        <f>LOG10($C$171)</f>
        <v>6.218309090777311</v>
      </c>
    </row>
    <row r="174" ht="12.75">
      <c r="A174" s="42" t="s">
        <v>926</v>
      </c>
    </row>
    <row r="175" spans="1:2" ht="12.75">
      <c r="A175" s="43" t="s">
        <v>927</v>
      </c>
      <c r="B175" s="77">
        <v>0.001</v>
      </c>
    </row>
    <row r="176" ht="12.75">
      <c r="A176" s="43" t="s">
        <v>928</v>
      </c>
    </row>
    <row r="177" ht="12.75">
      <c r="A177" s="43" t="s">
        <v>929</v>
      </c>
    </row>
    <row r="178" spans="1:3" ht="12.75">
      <c r="A178" s="43" t="s">
        <v>930</v>
      </c>
      <c r="C178" s="43">
        <v>0.55</v>
      </c>
    </row>
    <row r="179" spans="1:3" ht="12.75">
      <c r="A179" s="43" t="s">
        <v>931</v>
      </c>
      <c r="C179" s="43">
        <v>0.57</v>
      </c>
    </row>
    <row r="180" spans="1:3" ht="12.75">
      <c r="A180" s="43" t="s">
        <v>932</v>
      </c>
      <c r="C180" s="43">
        <v>0.49</v>
      </c>
    </row>
    <row r="181" spans="1:3" ht="12.75">
      <c r="A181" s="43" t="s">
        <v>884</v>
      </c>
      <c r="C181" s="43">
        <v>4.56</v>
      </c>
    </row>
    <row r="182" spans="1:3" ht="12.75">
      <c r="A182" s="43" t="s">
        <v>933</v>
      </c>
      <c r="C182" s="50">
        <f>LOG10(1+MGFREE*10^$C$178+CAFREE*10^$C$179+SRFREE*10^$C$180+10^-PH*10^$C$181)</f>
        <v>0.0007001053679488761</v>
      </c>
    </row>
    <row r="183" spans="1:3" ht="12.75">
      <c r="A183" s="43" t="s">
        <v>934</v>
      </c>
      <c r="C183" s="50">
        <f>4.56-LOG10(1+MGFREE*10^$C$178+CAFREE*10^$C$179+SRFREE*10^$C$180)</f>
        <v>4.5594553981804635</v>
      </c>
    </row>
    <row r="184" spans="1:3" ht="12.75">
      <c r="A184" s="43" t="s">
        <v>935</v>
      </c>
      <c r="C184" s="43">
        <v>1.82</v>
      </c>
    </row>
    <row r="185" spans="1:3" ht="12.75">
      <c r="A185" s="43" t="s">
        <v>936</v>
      </c>
      <c r="C185" s="43">
        <v>2.8</v>
      </c>
    </row>
    <row r="187" ht="12.75">
      <c r="A187" s="42" t="s">
        <v>959</v>
      </c>
    </row>
    <row r="188" spans="1:4" ht="12.75">
      <c r="A188" s="43" t="s">
        <v>937</v>
      </c>
      <c r="D188" s="43" t="s">
        <v>938</v>
      </c>
    </row>
    <row r="189" spans="1:4" ht="12.75">
      <c r="A189" s="50">
        <f>-1.04*LOG10(SALINITY)+30.12</f>
        <v>30.84692880450946</v>
      </c>
      <c r="B189" s="43" t="s">
        <v>958</v>
      </c>
      <c r="D189" s="50">
        <f>-1.04*LOG10(38)+30.12</f>
        <v>28.477025059518517</v>
      </c>
    </row>
    <row r="190" spans="2:3" ht="12.75">
      <c r="B190" s="55" t="s">
        <v>939</v>
      </c>
      <c r="C190" s="55" t="s">
        <v>940</v>
      </c>
    </row>
    <row r="191" spans="2:3" ht="12.75">
      <c r="B191" s="80">
        <f>10^-6.6</f>
        <v>2.511886431509578E-07</v>
      </c>
      <c r="C191" s="62">
        <f>LOG10(B191^3*10^$A$189)</f>
        <v>11.046928804509463</v>
      </c>
    </row>
    <row r="192" spans="2:3" ht="12.75">
      <c r="B192" s="80">
        <v>5E-06</v>
      </c>
      <c r="C192" s="62">
        <f>LOG10(B192^3*10^$A$189)</f>
        <v>14.94383881751752</v>
      </c>
    </row>
    <row r="193" spans="2:3" ht="12.75">
      <c r="B193" s="85">
        <v>2E-06</v>
      </c>
      <c r="C193" s="62">
        <f>LOG10(B193^3*10^$A$189)</f>
        <v>13.750018791501407</v>
      </c>
    </row>
    <row r="195" spans="1:4" ht="12.75">
      <c r="A195" s="43" t="s">
        <v>941</v>
      </c>
      <c r="C195" s="43">
        <v>22.5</v>
      </c>
      <c r="D195" s="43" t="s">
        <v>942</v>
      </c>
    </row>
    <row r="196" spans="2:3" ht="12.75">
      <c r="B196" s="43" t="s">
        <v>939</v>
      </c>
      <c r="C196" s="43" t="s">
        <v>940</v>
      </c>
    </row>
    <row r="197" spans="2:3" ht="12.75">
      <c r="B197" s="80">
        <v>1E-06</v>
      </c>
      <c r="C197" s="62">
        <f>LOG10(B197^3*10^$C$195)</f>
        <v>4.500000000000003</v>
      </c>
    </row>
    <row r="198" spans="2:3" ht="12.75">
      <c r="B198" s="80">
        <v>1E-05</v>
      </c>
      <c r="C198" s="62">
        <f>LOG10(B198^3*10^$C$195)</f>
        <v>7.500000000000003</v>
      </c>
    </row>
    <row r="199" spans="2:3" ht="12.75">
      <c r="B199" s="80">
        <v>0.0001</v>
      </c>
      <c r="C199" s="62">
        <f>LOG10(B199^3*10^$C$195)</f>
        <v>10.500000000000002</v>
      </c>
    </row>
    <row r="200" spans="2:3" ht="12.75">
      <c r="B200" s="80">
        <v>0.001</v>
      </c>
      <c r="C200" s="62">
        <f>LOG10(B200^3*10^$C$195)</f>
        <v>13.500000000000002</v>
      </c>
    </row>
    <row r="201" spans="2:3" ht="12.75">
      <c r="B201" s="77">
        <f>10^-3.7</f>
        <v>0.00019952623149688758</v>
      </c>
      <c r="C201" s="62">
        <f>LOG10(B201^3*10^$C$195)</f>
        <v>11.4</v>
      </c>
    </row>
    <row r="203" spans="1:4" ht="12.75">
      <c r="A203" s="43" t="s">
        <v>943</v>
      </c>
      <c r="C203" s="43">
        <v>28.39</v>
      </c>
      <c r="D203" s="43" t="s">
        <v>944</v>
      </c>
    </row>
    <row r="204" spans="2:3" ht="12.75">
      <c r="B204" s="43" t="s">
        <v>939</v>
      </c>
      <c r="C204" s="43" t="s">
        <v>940</v>
      </c>
    </row>
    <row r="205" spans="2:3" ht="12.75">
      <c r="B205" s="82">
        <v>2.34E-06</v>
      </c>
      <c r="C205" s="50">
        <f>LOG10(+B205^3*10^C203)</f>
        <v>11.497647572230434</v>
      </c>
    </row>
    <row r="206" spans="2:3" ht="12.75">
      <c r="B206" s="82">
        <v>2E-05</v>
      </c>
      <c r="C206" s="50">
        <f>LOG10(+B206^3*10^C203)</f>
        <v>14.29308998699195</v>
      </c>
    </row>
    <row r="208" spans="1:6" ht="12.75">
      <c r="A208" s="72" t="s">
        <v>960</v>
      </c>
      <c r="B208" s="81"/>
      <c r="C208" s="62"/>
      <c r="D208" s="62"/>
      <c r="E208" s="61"/>
      <c r="F208" s="50"/>
    </row>
    <row r="209" spans="1:6" ht="12.75">
      <c r="A209" s="60" t="s">
        <v>698</v>
      </c>
      <c r="B209" s="61" t="s">
        <v>699</v>
      </c>
      <c r="C209" s="62"/>
      <c r="D209" s="62" t="s">
        <v>700</v>
      </c>
      <c r="E209" s="63" t="s">
        <v>701</v>
      </c>
      <c r="F209" s="50"/>
    </row>
    <row r="210" spans="2:6" ht="12.75">
      <c r="B210" s="60" t="s">
        <v>702</v>
      </c>
      <c r="C210" s="62">
        <v>20.5</v>
      </c>
      <c r="D210" s="62">
        <v>21.7</v>
      </c>
      <c r="E210" s="62">
        <v>13</v>
      </c>
      <c r="F210" s="63">
        <f>E210+10</f>
        <v>23</v>
      </c>
    </row>
    <row r="211" spans="2:6" ht="12.75">
      <c r="B211" s="43" t="s">
        <v>703</v>
      </c>
      <c r="C211" s="51" t="s">
        <v>704</v>
      </c>
      <c r="D211" s="43" t="s">
        <v>704</v>
      </c>
      <c r="E211" s="43" t="s">
        <v>705</v>
      </c>
      <c r="F211" s="43" t="s">
        <v>704</v>
      </c>
    </row>
    <row r="212" spans="2:6" ht="12.75">
      <c r="B212" s="84">
        <v>1E-09</v>
      </c>
      <c r="C212" s="50">
        <f>LOG10(B212*10^$C$210)</f>
        <v>11.500000000000002</v>
      </c>
      <c r="D212" s="50">
        <f>LOG10(B212*10^$D$210)</f>
        <v>12.700000000000003</v>
      </c>
      <c r="E212" s="50">
        <f>LOG10(B212*10^$E$210)</f>
        <v>4</v>
      </c>
      <c r="F212" s="50">
        <f>LOG10(B212*10^$F$210)</f>
        <v>14</v>
      </c>
    </row>
    <row r="213" spans="2:6" ht="12.75">
      <c r="B213" s="84">
        <v>4E-09</v>
      </c>
      <c r="C213" s="50">
        <f>LOG10(B213*10^$C$210)</f>
        <v>12.102059991327964</v>
      </c>
      <c r="D213" s="50">
        <f>LOG10(B213*10^$D$210)</f>
        <v>13.302059991327965</v>
      </c>
      <c r="E213" s="50">
        <f>LOG10(B213*10^$E$210)</f>
        <v>4.6020599913279625</v>
      </c>
      <c r="F213" s="50">
        <f>LOG10(B213*10^$F$210)</f>
        <v>14.602059991327963</v>
      </c>
    </row>
    <row r="214" spans="2:6" ht="12.75">
      <c r="B214" s="84">
        <v>1E-08</v>
      </c>
      <c r="C214" s="50">
        <f>LOG10(B214*10^$C$210)</f>
        <v>12.500000000000002</v>
      </c>
      <c r="D214" s="50">
        <f>LOG10(B214*10^$D$210)</f>
        <v>13.700000000000003</v>
      </c>
      <c r="E214" s="50">
        <f>LOG10(B214*10^$E$210)</f>
        <v>5</v>
      </c>
      <c r="F214" s="50">
        <f>LOG10(B214*10^$F$210)</f>
        <v>15</v>
      </c>
    </row>
  </sheetData>
  <sheetProtection/>
  <hyperlinks>
    <hyperlink ref="A7" r:id="rId1" display="vandenberg@liv.ac.uk"/>
  </hyperlinks>
  <printOptions/>
  <pageMargins left="0.75" right="0.75" top="1" bottom="1" header="0.5" footer="0.5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8"/>
  <sheetViews>
    <sheetView showOutlineSymbols="0" workbookViewId="0" topLeftCell="A1">
      <selection activeCell="D10" sqref="D10"/>
    </sheetView>
  </sheetViews>
  <sheetFormatPr defaultColWidth="9.140625" defaultRowHeight="12.75"/>
  <cols>
    <col min="1" max="16384" width="10.7109375" style="28" customWidth="1"/>
  </cols>
  <sheetData>
    <row r="1" spans="1:2" ht="12">
      <c r="A1" s="1" t="s">
        <v>634</v>
      </c>
      <c r="B1" s="9"/>
    </row>
    <row r="2" spans="1:4" ht="12">
      <c r="A2" s="2" t="s">
        <v>635</v>
      </c>
      <c r="B2" s="2" t="s">
        <v>636</v>
      </c>
      <c r="C2" s="2" t="s">
        <v>637</v>
      </c>
      <c r="D2" s="2" t="s">
        <v>638</v>
      </c>
    </row>
    <row r="3" ht="12">
      <c r="D3" s="2" t="s">
        <v>639</v>
      </c>
    </row>
    <row r="4" spans="1:4" ht="12">
      <c r="A4" s="28">
        <f aca="true" t="shared" si="0" ref="A4:A35">273.15+B4</f>
        <v>273.15</v>
      </c>
      <c r="B4" s="28">
        <v>0</v>
      </c>
      <c r="C4" s="13">
        <f>-(2385.73/$A4-14.0184+0.0152642*$A4-[0]!IFORMAL*(0.28956-6.167*10^-4*$A4))</f>
        <v>1.1154711307265643</v>
      </c>
      <c r="D4" s="15">
        <f aca="true" t="shared" si="1" ref="D4:D35">0.00035*10^-C4*1000000</f>
        <v>26.828532245160538</v>
      </c>
    </row>
    <row r="5" spans="1:4" ht="12">
      <c r="A5" s="28">
        <f t="shared" si="0"/>
        <v>273.4</v>
      </c>
      <c r="B5" s="28">
        <v>0.25</v>
      </c>
      <c r="C5" s="13">
        <f>-(2385.73/$A5-14.0184+0.0152642*$A5-[0]!IFORMAL*(0.28956-6.167*10^-4*$A5))</f>
        <v>1.119640877256266</v>
      </c>
      <c r="D5" s="15">
        <f t="shared" si="1"/>
        <v>26.572178862138994</v>
      </c>
    </row>
    <row r="6" spans="1:4" ht="12">
      <c r="A6" s="28">
        <f t="shared" si="0"/>
        <v>273.65</v>
      </c>
      <c r="B6" s="28">
        <v>0.5</v>
      </c>
      <c r="C6" s="13">
        <f>-(2385.73/$A6-14.0184+0.0152642*$A6-[0]!IFORMAL*(0.28956-6.167*10^-4*$A6))</f>
        <v>1.1237960310697397</v>
      </c>
      <c r="D6" s="15">
        <f t="shared" si="1"/>
        <v>26.319159334709408</v>
      </c>
    </row>
    <row r="7" spans="1:4" ht="12">
      <c r="A7" s="28">
        <f t="shared" si="0"/>
        <v>273.9</v>
      </c>
      <c r="B7" s="28">
        <v>0.75</v>
      </c>
      <c r="C7" s="13">
        <f>-(2385.73/$A7-14.0184+0.0152642*$A7-[0]!IFORMAL*(0.28956-6.167*10^-4*$A7))</f>
        <v>1.1279366321251338</v>
      </c>
      <c r="D7" s="15">
        <f t="shared" si="1"/>
        <v>26.06942259668883</v>
      </c>
    </row>
    <row r="8" spans="1:4" ht="12">
      <c r="A8" s="28">
        <f t="shared" si="0"/>
        <v>274.15</v>
      </c>
      <c r="B8" s="28">
        <v>1</v>
      </c>
      <c r="C8" s="13">
        <f>-(2385.73/$A8-14.0184+0.0152642*$A8-[0]!IFORMAL*(0.28956-6.167*10^-4*$A8))</f>
        <v>1.1320627202348499</v>
      </c>
      <c r="D8" s="15">
        <f t="shared" si="1"/>
        <v>25.82291847347169</v>
      </c>
    </row>
    <row r="9" spans="1:4" ht="12">
      <c r="A9" s="28">
        <f t="shared" si="0"/>
        <v>274.4</v>
      </c>
      <c r="B9" s="28">
        <v>1.25</v>
      </c>
      <c r="C9" s="13">
        <f>-(2385.73/$A9-14.0184+0.0152642*$A9-[0]!IFORMAL*(0.28956-6.167*10^-4*$A9))</f>
        <v>1.13617433506619</v>
      </c>
      <c r="D9" s="15">
        <f t="shared" si="1"/>
        <v>25.579597664730205</v>
      </c>
    </row>
    <row r="10" spans="1:4" ht="12">
      <c r="A10" s="28">
        <f t="shared" si="0"/>
        <v>274.65</v>
      </c>
      <c r="B10" s="28">
        <v>1.5</v>
      </c>
      <c r="C10" s="13">
        <f>-(2385.73/$A10-14.0184+0.0152642*$A10-[0]!IFORMAL*(0.28956-6.167*10^-4*$A10))</f>
        <v>1.1402715161420345</v>
      </c>
      <c r="D10" s="15">
        <f t="shared" si="1"/>
        <v>25.33941172748006</v>
      </c>
    </row>
    <row r="11" spans="1:4" ht="12">
      <c r="A11" s="28">
        <f t="shared" si="0"/>
        <v>274.9</v>
      </c>
      <c r="B11" s="28">
        <v>1.75</v>
      </c>
      <c r="C11" s="13">
        <f>-(2385.73/$A11-14.0184+0.0152642*$A11-[0]!IFORMAL*(0.28956-6.167*10^-4*$A11))</f>
        <v>1.1443543028414949</v>
      </c>
      <c r="D11" s="15">
        <f t="shared" si="1"/>
        <v>25.102313059506482</v>
      </c>
    </row>
    <row r="12" spans="1:4" ht="12">
      <c r="A12" s="28">
        <f t="shared" si="0"/>
        <v>275.15</v>
      </c>
      <c r="B12" s="28">
        <v>2</v>
      </c>
      <c r="C12" s="13">
        <f>-(2385.73/$A12-14.0184+0.0152642*$A12-[0]!IFORMAL*(0.28956-6.167*10^-4*$A12))</f>
        <v>1.1484227344005544</v>
      </c>
      <c r="D12" s="15">
        <f t="shared" si="1"/>
        <v>24.868254883141475</v>
      </c>
    </row>
    <row r="13" spans="1:4" ht="12">
      <c r="A13" s="28">
        <f t="shared" si="0"/>
        <v>275.4</v>
      </c>
      <c r="B13" s="28">
        <v>2.25</v>
      </c>
      <c r="C13" s="13">
        <f>-(2385.73/$A13-14.0184+0.0152642*$A13-[0]!IFORMAL*(0.28956-6.167*10^-4*$A13))</f>
        <v>1.1524768499127371</v>
      </c>
      <c r="D13" s="15">
        <f t="shared" si="1"/>
        <v>24.637191229381887</v>
      </c>
    </row>
    <row r="14" spans="1:4" ht="12">
      <c r="A14" s="28">
        <f t="shared" si="0"/>
        <v>275.65</v>
      </c>
      <c r="B14" s="28">
        <v>2.5</v>
      </c>
      <c r="C14" s="13">
        <f>-(2385.73/$A14-14.0184+0.0152642*$A14-[0]!IFORMAL*(0.28956-6.167*10^-4*$A14))</f>
        <v>1.1565166883297362</v>
      </c>
      <c r="D14" s="15">
        <f t="shared" si="1"/>
        <v>24.409076922344553</v>
      </c>
    </row>
    <row r="15" spans="1:4" ht="12">
      <c r="A15" s="28">
        <f t="shared" si="0"/>
        <v>275.9</v>
      </c>
      <c r="B15" s="28">
        <v>2.75</v>
      </c>
      <c r="C15" s="13">
        <f>-(2385.73/$A15-14.0184+0.0152642*$A15-[0]!IFORMAL*(0.28956-6.167*10^-4*$A15))</f>
        <v>1.1605422884620704</v>
      </c>
      <c r="D15" s="15">
        <f t="shared" si="1"/>
        <v>24.18386756404686</v>
      </c>
    </row>
    <row r="16" spans="1:4" ht="12">
      <c r="A16" s="28">
        <f t="shared" si="0"/>
        <v>276.15</v>
      </c>
      <c r="B16" s="28">
        <v>3</v>
      </c>
      <c r="C16" s="13">
        <f>-(2385.73/$A16-14.0184+0.0152642*$A16-[0]!IFORMAL*(0.28956-6.167*10^-4*$A16))</f>
        <v>1.1645536889797117</v>
      </c>
      <c r="D16" s="15">
        <f t="shared" si="1"/>
        <v>23.961519519508418</v>
      </c>
    </row>
    <row r="17" spans="1:4" ht="12">
      <c r="A17" s="28">
        <f t="shared" si="0"/>
        <v>276.4</v>
      </c>
      <c r="B17" s="28">
        <v>3.25</v>
      </c>
      <c r="C17" s="13">
        <f>-(2385.73/$A17-14.0184+0.0152642*$A17-[0]!IFORMAL*(0.28956-6.167*10^-4*$A17))</f>
        <v>1.1685509284127316</v>
      </c>
      <c r="D17" s="15">
        <f t="shared" si="1"/>
        <v>23.741989902164132</v>
      </c>
    </row>
    <row r="18" spans="1:4" ht="12">
      <c r="A18" s="28">
        <f t="shared" si="0"/>
        <v>276.65</v>
      </c>
      <c r="B18" s="28">
        <v>3.5</v>
      </c>
      <c r="C18" s="13">
        <f>-(2385.73/$A18-14.0184+0.0152642*$A18-[0]!IFORMAL*(0.28956-6.167*10^-4*$A18))</f>
        <v>1.1725340451519235</v>
      </c>
      <c r="D18" s="15">
        <f t="shared" si="1"/>
        <v>23.52523655958376</v>
      </c>
    </row>
    <row r="19" spans="1:4" ht="12">
      <c r="A19" s="28">
        <f t="shared" si="0"/>
        <v>276.9</v>
      </c>
      <c r="B19" s="28">
        <v>3.75</v>
      </c>
      <c r="C19" s="13">
        <f>-(2385.73/$A19-14.0184+0.0152642*$A19-[0]!IFORMAL*(0.28956-6.167*10^-4*$A19))</f>
        <v>1.1765030774494378</v>
      </c>
      <c r="D19" s="15">
        <f t="shared" si="1"/>
        <v>23.311218059489004</v>
      </c>
    </row>
    <row r="20" spans="1:4" ht="12">
      <c r="A20" s="28">
        <f t="shared" si="0"/>
        <v>277.15</v>
      </c>
      <c r="B20" s="28">
        <v>4</v>
      </c>
      <c r="C20" s="13">
        <f>-(2385.73/$A20-14.0184+0.0152642*$A20-[0]!IFORMAL*(0.28956-6.167*10^-4*$A20))</f>
        <v>1.1804580634194057</v>
      </c>
      <c r="D20" s="15">
        <f t="shared" si="1"/>
        <v>23.099893676062912</v>
      </c>
    </row>
    <row r="21" spans="1:4" ht="12">
      <c r="A21" s="28">
        <f t="shared" si="0"/>
        <v>277.4</v>
      </c>
      <c r="B21" s="28">
        <v>4.25</v>
      </c>
      <c r="C21" s="13">
        <f>-(2385.73/$A21-14.0184+0.0152642*$A21-[0]!IFORMAL*(0.28956-6.167*10^-4*$A21))</f>
        <v>1.18439904103856</v>
      </c>
      <c r="D21" s="15">
        <f t="shared" si="1"/>
        <v>22.891223376544183</v>
      </c>
    </row>
    <row r="22" spans="1:4" ht="12">
      <c r="A22" s="28">
        <f t="shared" si="0"/>
        <v>277.65</v>
      </c>
      <c r="B22" s="28">
        <v>4.5</v>
      </c>
      <c r="C22" s="13">
        <f>-(2385.73/$A22-14.0184+0.0152642*$A22-[0]!IFORMAL*(0.28956-6.167*10^-4*$A22))</f>
        <v>1.1883260481468525</v>
      </c>
      <c r="D22" s="15">
        <f t="shared" si="1"/>
        <v>22.685167808100413</v>
      </c>
    </row>
    <row r="23" spans="1:4" ht="12">
      <c r="A23" s="28">
        <f t="shared" si="0"/>
        <v>277.9</v>
      </c>
      <c r="B23" s="28">
        <v>4.75</v>
      </c>
      <c r="C23" s="13">
        <f>-(2385.73/$A23-14.0184+0.0152642*$A23-[0]!IFORMAL*(0.28956-6.167*10^-4*$A23))</f>
        <v>1.1922391224480757</v>
      </c>
      <c r="D23" s="15">
        <f t="shared" si="1"/>
        <v>22.481688284973174</v>
      </c>
    </row>
    <row r="24" spans="1:4" ht="12">
      <c r="A24" s="28">
        <f t="shared" si="0"/>
        <v>278.15</v>
      </c>
      <c r="B24" s="28">
        <v>5</v>
      </c>
      <c r="C24" s="13">
        <f>-(2385.73/$A24-14.0184+0.0152642*$A24-[0]!IFORMAL*(0.28956-6.167*10^-4*$A24))</f>
        <v>1.1961383015104632</v>
      </c>
      <c r="D24" s="15">
        <f t="shared" si="1"/>
        <v>22.28074677589051</v>
      </c>
    </row>
    <row r="25" spans="1:4" ht="12">
      <c r="A25" s="28">
        <f t="shared" si="0"/>
        <v>278.4</v>
      </c>
      <c r="B25" s="28">
        <v>5.25</v>
      </c>
      <c r="C25" s="13">
        <f>-(2385.73/$A25-14.0184+0.0152642*$A25-[0]!IFORMAL*(0.28956-6.167*10^-4*$A25))</f>
        <v>1.200023622767313</v>
      </c>
      <c r="D25" s="15">
        <f t="shared" si="1"/>
        <v>22.08230589173825</v>
      </c>
    </row>
    <row r="26" spans="1:4" ht="12">
      <c r="A26" s="28">
        <f t="shared" si="0"/>
        <v>278.65</v>
      </c>
      <c r="B26" s="28">
        <v>5.5</v>
      </c>
      <c r="C26" s="13">
        <f>-(2385.73/$A26-14.0184+0.0152642*$A26-[0]!IFORMAL*(0.28956-6.167*10^-4*$A26))</f>
        <v>1.2038951235175799</v>
      </c>
      <c r="D26" s="15">
        <f t="shared" si="1"/>
        <v>21.88632887348737</v>
      </c>
    </row>
    <row r="27" spans="1:4" ht="12">
      <c r="A27" s="28">
        <f t="shared" si="0"/>
        <v>278.9</v>
      </c>
      <c r="B27" s="28">
        <v>5.75</v>
      </c>
      <c r="C27" s="13">
        <f>-(2385.73/$A27-14.0184+0.0152642*$A27-[0]!IFORMAL*(0.28956-6.167*10^-4*$A27))</f>
        <v>1.2077528409264842</v>
      </c>
      <c r="D27" s="15">
        <f t="shared" si="1"/>
        <v>21.692779580369116</v>
      </c>
    </row>
    <row r="28" spans="1:4" ht="12">
      <c r="A28" s="28">
        <f t="shared" si="0"/>
        <v>279.15</v>
      </c>
      <c r="B28" s="28">
        <v>6</v>
      </c>
      <c r="C28" s="13">
        <f>-(2385.73/$A28-14.0184+0.0152642*$A28-[0]!IFORMAL*(0.28956-6.167*10^-4*$A28))</f>
        <v>1.2115968120261094</v>
      </c>
      <c r="D28" s="15">
        <f t="shared" si="1"/>
        <v>21.501622478293758</v>
      </c>
    </row>
    <row r="29" spans="1:4" ht="12">
      <c r="A29" s="28">
        <f t="shared" si="0"/>
        <v>279.4</v>
      </c>
      <c r="B29" s="28">
        <v>6.25</v>
      </c>
      <c r="C29" s="13">
        <f>-(2385.73/$A29-14.0184+0.0152642*$A29-[0]!IFORMAL*(0.28956-6.167*10^-4*$A29))</f>
        <v>1.2154270737159965</v>
      </c>
      <c r="D29" s="15">
        <f t="shared" si="1"/>
        <v>21.312822628507213</v>
      </c>
    </row>
    <row r="30" spans="1:4" ht="12">
      <c r="A30" s="28">
        <f t="shared" si="0"/>
        <v>279.65</v>
      </c>
      <c r="B30" s="28">
        <v>6.5</v>
      </c>
      <c r="C30" s="13">
        <f>-(2385.73/$A30-14.0184+0.0152642*$A30-[0]!IFORMAL*(0.28956-6.167*10^-4*$A30))</f>
        <v>1.2192436627637397</v>
      </c>
      <c r="D30" s="15">
        <f t="shared" si="1"/>
        <v>21.126345676480017</v>
      </c>
    </row>
    <row r="31" spans="1:4" ht="12">
      <c r="A31" s="28">
        <f t="shared" si="0"/>
        <v>279.9</v>
      </c>
      <c r="B31" s="28">
        <v>6.75</v>
      </c>
      <c r="C31" s="13">
        <f>-(2385.73/$A31-14.0184+0.0152642*$A31-[0]!IFORMAL*(0.28956-6.167*10^-4*$A31))</f>
        <v>1.223046615805569</v>
      </c>
      <c r="D31" s="15">
        <f t="shared" si="1"/>
        <v>20.94215784102409</v>
      </c>
    </row>
    <row r="32" spans="1:4" ht="12">
      <c r="A32" s="28">
        <f t="shared" si="0"/>
        <v>280.15</v>
      </c>
      <c r="B32" s="28">
        <v>7</v>
      </c>
      <c r="C32" s="13">
        <f>-(2385.73/$A32-14.0184+0.0152642*$A32-[0]!IFORMAL*(0.28956-6.167*10^-4*$A32))</f>
        <v>1.2268359693469484</v>
      </c>
      <c r="D32" s="15">
        <f t="shared" si="1"/>
        <v>20.76022590363098</v>
      </c>
    </row>
    <row r="33" spans="1:4" ht="12">
      <c r="A33" s="28">
        <f t="shared" si="0"/>
        <v>280.4</v>
      </c>
      <c r="B33" s="28">
        <v>7.25</v>
      </c>
      <c r="C33" s="13">
        <f>-(2385.73/$A33-14.0184+0.0152642*$A33-[0]!IFORMAL*(0.28956-6.167*10^-4*$A33))</f>
        <v>1.230611759763142</v>
      </c>
      <c r="D33" s="15">
        <f t="shared" si="1"/>
        <v>20.580517198028854</v>
      </c>
    </row>
    <row r="34" spans="1:4" ht="12">
      <c r="A34" s="28">
        <f t="shared" si="0"/>
        <v>280.65</v>
      </c>
      <c r="B34" s="28">
        <v>7.5</v>
      </c>
      <c r="C34" s="13">
        <f>-(2385.73/$A34-14.0184+0.0152642*$A34-[0]!IFORMAL*(0.28956-6.167*10^-4*$A34))</f>
        <v>1.2343740232998108</v>
      </c>
      <c r="D34" s="15">
        <f t="shared" si="1"/>
        <v>20.4029995999506</v>
      </c>
    </row>
    <row r="35" spans="1:4" ht="12">
      <c r="A35" s="28">
        <f t="shared" si="0"/>
        <v>280.9</v>
      </c>
      <c r="B35" s="28">
        <v>7.75</v>
      </c>
      <c r="C35" s="13">
        <f>-(2385.73/$A35-14.0184+0.0152642*$A35-[0]!IFORMAL*(0.28956-6.167*10^-4*$A35))</f>
        <v>1.2381227960735763</v>
      </c>
      <c r="D35" s="15">
        <f t="shared" si="1"/>
        <v>20.22764151711113</v>
      </c>
    </row>
    <row r="36" spans="1:4" ht="12">
      <c r="A36" s="28">
        <f aca="true" t="shared" si="2" ref="A36:A67">273.15+B36</f>
        <v>281.15</v>
      </c>
      <c r="B36" s="28">
        <v>8</v>
      </c>
      <c r="C36" s="13">
        <f>-(2385.73/$A36-14.0184+0.0152642*$A36-[0]!IFORMAL*(0.28956-6.167*10^-4*$A36))</f>
        <v>1.2418581140726037</v>
      </c>
      <c r="D36" s="15">
        <f aca="true" t="shared" si="3" ref="D36:D67">0.00035*10^-C36*1000000</f>
        <v>20.054411879387057</v>
      </c>
    </row>
    <row r="37" spans="1:4" ht="12">
      <c r="A37" s="28">
        <f t="shared" si="2"/>
        <v>281.4</v>
      </c>
      <c r="B37" s="28">
        <v>8.25</v>
      </c>
      <c r="C37" s="13">
        <f>-(2385.73/$A37-14.0184+0.0152642*$A37-[0]!IFORMAL*(0.28956-6.167*10^-4*$A37))</f>
        <v>1.2455800131571664</v>
      </c>
      <c r="D37" s="15">
        <f t="shared" si="3"/>
        <v>19.883280129195942</v>
      </c>
    </row>
    <row r="38" spans="1:4" ht="12">
      <c r="A38" s="28">
        <f t="shared" si="2"/>
        <v>281.65</v>
      </c>
      <c r="B38" s="28">
        <v>8.5</v>
      </c>
      <c r="C38" s="13">
        <f>-(2385.73/$A38-14.0184+0.0152642*$A38-[0]!IFORMAL*(0.28956-6.167*10^-4*$A38))</f>
        <v>1.2492885290602176</v>
      </c>
      <c r="D38" s="15">
        <f t="shared" si="3"/>
        <v>19.714216212069545</v>
      </c>
    </row>
    <row r="39" spans="1:4" ht="12">
      <c r="A39" s="28">
        <f t="shared" si="2"/>
        <v>281.9</v>
      </c>
      <c r="B39" s="28">
        <v>8.75</v>
      </c>
      <c r="C39" s="13">
        <f>-(2385.73/$A39-14.0184+0.0152642*$A39-[0]!IFORMAL*(0.28956-6.167*10^-4*$A39))</f>
        <v>1.2529836973879473</v>
      </c>
      <c r="D39" s="15">
        <f t="shared" si="3"/>
        <v>19.547190567417857</v>
      </c>
    </row>
    <row r="40" spans="1:4" ht="12">
      <c r="A40" s="28">
        <f t="shared" si="2"/>
        <v>282.15</v>
      </c>
      <c r="B40" s="28">
        <v>9</v>
      </c>
      <c r="C40" s="13">
        <f>-(2385.73/$A40-14.0184+0.0152642*$A40-[0]!IFORMAL*(0.28956-6.167*10^-4*$A40))</f>
        <v>1.2566655536203575</v>
      </c>
      <c r="D40" s="15">
        <f t="shared" si="3"/>
        <v>19.382174119478304</v>
      </c>
    </row>
    <row r="41" spans="1:4" ht="12">
      <c r="A41" s="28">
        <f t="shared" si="2"/>
        <v>282.4</v>
      </c>
      <c r="B41" s="28">
        <v>9.25</v>
      </c>
      <c r="C41" s="13">
        <f>-(2385.73/$A41-14.0184+0.0152642*$A41-[0]!IFORMAL*(0.28956-6.167*10^-4*$A41))</f>
        <v>1.2603341331118079</v>
      </c>
      <c r="D41" s="15">
        <f t="shared" si="3"/>
        <v>19.21913826844806</v>
      </c>
    </row>
    <row r="42" spans="1:4" ht="12">
      <c r="A42" s="28">
        <f t="shared" si="2"/>
        <v>282.65</v>
      </c>
      <c r="B42" s="28">
        <v>9.5</v>
      </c>
      <c r="C42" s="13">
        <f>-(2385.73/$A42-14.0184+0.0152642*$A42-[0]!IFORMAL*(0.28956-6.167*10^-4*$A42))</f>
        <v>1.2639894710915782</v>
      </c>
      <c r="D42" s="15">
        <f t="shared" si="3"/>
        <v>19.05805488179358</v>
      </c>
    </row>
    <row r="43" spans="1:4" ht="12">
      <c r="A43" s="28">
        <f t="shared" si="2"/>
        <v>282.9</v>
      </c>
      <c r="B43" s="28">
        <v>9.75</v>
      </c>
      <c r="C43" s="13">
        <f>-(2385.73/$A43-14.0184+0.0152642*$A43-[0]!IFORMAL*(0.28956-6.167*10^-4*$A43))</f>
        <v>1.267631602664416</v>
      </c>
      <c r="D43" s="15">
        <f t="shared" si="3"/>
        <v>18.89889628573482</v>
      </c>
    </row>
    <row r="44" spans="1:4" ht="12">
      <c r="A44" s="28">
        <f t="shared" si="2"/>
        <v>283.15</v>
      </c>
      <c r="B44" s="28">
        <v>10</v>
      </c>
      <c r="C44" s="13">
        <f>-(2385.73/$A44-14.0184+0.0152642*$A44-[0]!IFORMAL*(0.28956-6.167*10^-4*$A44))</f>
        <v>1.2712605628110945</v>
      </c>
      <c r="D44" s="15">
        <f t="shared" si="3"/>
        <v>18.74163525689928</v>
      </c>
    </row>
    <row r="45" spans="1:4" ht="12">
      <c r="A45" s="28">
        <f t="shared" si="2"/>
        <v>283.4</v>
      </c>
      <c r="B45" s="28">
        <v>10.25</v>
      </c>
      <c r="C45" s="13">
        <f>-(2385.73/$A45-14.0184+0.0152642*$A45-[0]!IFORMAL*(0.28956-6.167*10^-4*$A45))</f>
        <v>1.2748763863889496</v>
      </c>
      <c r="D45" s="15">
        <f t="shared" si="3"/>
        <v>18.586245014143397</v>
      </c>
    </row>
    <row r="46" spans="1:4" ht="12">
      <c r="A46" s="28">
        <f t="shared" si="2"/>
        <v>283.65</v>
      </c>
      <c r="B46" s="28">
        <v>10.5</v>
      </c>
      <c r="C46" s="13">
        <f>-(2385.73/$A46-14.0184+0.0152642*$A46-[0]!IFORMAL*(0.28956-6.167*10^-4*$A46))</f>
        <v>1.2784791081324338</v>
      </c>
      <c r="D46" s="15">
        <f t="shared" si="3"/>
        <v>18.43269921053637</v>
      </c>
    </row>
    <row r="47" spans="1:4" ht="12">
      <c r="A47" s="28">
        <f t="shared" si="2"/>
        <v>283.9</v>
      </c>
      <c r="B47" s="28">
        <v>10.75</v>
      </c>
      <c r="C47" s="13">
        <f>-(2385.73/$A47-14.0184+0.0152642*$A47-[0]!IFORMAL*(0.28956-6.167*10^-4*$A47))</f>
        <v>1.2820687626536476</v>
      </c>
      <c r="D47" s="15">
        <f t="shared" si="3"/>
        <v>18.28097192550414</v>
      </c>
    </row>
    <row r="48" spans="1:4" ht="12">
      <c r="A48" s="28">
        <f t="shared" si="2"/>
        <v>284.15</v>
      </c>
      <c r="B48" s="28">
        <v>11</v>
      </c>
      <c r="C48" s="13">
        <f>-(2385.73/$A48-14.0184+0.0152642*$A48-[0]!IFORMAL*(0.28956-6.167*10^-4*$A48))</f>
        <v>1.2856453844428823</v>
      </c>
      <c r="D48" s="15">
        <f t="shared" si="3"/>
        <v>18.13103765712904</v>
      </c>
    </row>
    <row r="49" spans="1:4" ht="12">
      <c r="A49" s="28">
        <f t="shared" si="2"/>
        <v>284.4</v>
      </c>
      <c r="B49" s="28">
        <v>11.25</v>
      </c>
      <c r="C49" s="13">
        <f>-(2385.73/$A49-14.0184+0.0152642*$A49-[0]!IFORMAL*(0.28956-6.167*10^-4*$A49))</f>
        <v>1.2892090078691585</v>
      </c>
      <c r="D49" s="15">
        <f t="shared" si="3"/>
        <v>17.982871314602136</v>
      </c>
    </row>
    <row r="50" spans="1:4" ht="12">
      <c r="A50" s="28">
        <f t="shared" si="2"/>
        <v>284.65</v>
      </c>
      <c r="B50" s="28">
        <v>11.5</v>
      </c>
      <c r="C50" s="13">
        <f>-(2385.73/$A50-14.0184+0.0152642*$A50-[0]!IFORMAL*(0.28956-6.167*10^-4*$A50))</f>
        <v>1.2927596671807517</v>
      </c>
      <c r="D50" s="15">
        <f t="shared" si="3"/>
        <v>17.83644821082553</v>
      </c>
    </row>
    <row r="51" spans="1:4" ht="12">
      <c r="A51" s="28">
        <f t="shared" si="2"/>
        <v>284.9</v>
      </c>
      <c r="B51" s="28">
        <v>11.75</v>
      </c>
      <c r="C51" s="13">
        <f>-(2385.73/$A51-14.0184+0.0152642*$A51-[0]!IFORMAL*(0.28956-6.167*10^-4*$A51))</f>
        <v>1.296297396505733</v>
      </c>
      <c r="D51" s="15">
        <f t="shared" si="3"/>
        <v>17.691744055160058</v>
      </c>
    </row>
    <row r="52" spans="1:4" ht="12">
      <c r="A52" s="28">
        <f t="shared" si="2"/>
        <v>285.15</v>
      </c>
      <c r="B52" s="28">
        <v>12</v>
      </c>
      <c r="C52" s="13">
        <f>-(2385.73/$A52-14.0184+0.0152642*$A52-[0]!IFORMAL*(0.28956-6.167*10^-4*$A52))</f>
        <v>1.2998222298524795</v>
      </c>
      <c r="D52" s="15">
        <f t="shared" si="3"/>
        <v>17.5487349463173</v>
      </c>
    </row>
    <row r="53" spans="1:4" ht="12">
      <c r="A53" s="28">
        <f t="shared" si="2"/>
        <v>285.4</v>
      </c>
      <c r="B53" s="28">
        <v>12.25</v>
      </c>
      <c r="C53" s="13">
        <f>-(2385.73/$A53-14.0184+0.0152642*$A53-[0]!IFORMAL*(0.28956-6.167*10^-4*$A53))</f>
        <v>1.3033342011102118</v>
      </c>
      <c r="D53" s="15">
        <f t="shared" si="3"/>
        <v>17.40739736539042</v>
      </c>
    </row>
    <row r="54" spans="1:4" ht="12">
      <c r="A54" s="28">
        <f t="shared" si="2"/>
        <v>285.65</v>
      </c>
      <c r="B54" s="28">
        <v>12.5</v>
      </c>
      <c r="C54" s="13">
        <f>-(2385.73/$A54-14.0184+0.0152642*$A54-[0]!IFORMAL*(0.28956-6.167*10^-4*$A54))</f>
        <v>1.306833344049515</v>
      </c>
      <c r="D54" s="15">
        <f t="shared" si="3"/>
        <v>17.26770816902251</v>
      </c>
    </row>
    <row r="55" spans="1:4" ht="12">
      <c r="A55" s="28">
        <f t="shared" si="2"/>
        <v>285.9</v>
      </c>
      <c r="B55" s="28">
        <v>12.75</v>
      </c>
      <c r="C55" s="13">
        <f>-(2385.73/$A55-14.0184+0.0152642*$A55-[0]!IFORMAL*(0.28956-6.167*10^-4*$A55))</f>
        <v>1.3103196923228482</v>
      </c>
      <c r="D55" s="15">
        <f t="shared" si="3"/>
        <v>17.1296445827095</v>
      </c>
    </row>
    <row r="56" spans="1:4" ht="12">
      <c r="A56" s="28">
        <f t="shared" si="2"/>
        <v>286.15</v>
      </c>
      <c r="B56" s="28">
        <v>13</v>
      </c>
      <c r="C56" s="13">
        <f>-(2385.73/$A56-14.0184+0.0152642*$A56-[0]!IFORMAL*(0.28956-6.167*10^-4*$A56))</f>
        <v>1.3137932794650695</v>
      </c>
      <c r="D56" s="15">
        <f t="shared" si="3"/>
        <v>16.993184194233596</v>
      </c>
    </row>
    <row r="57" spans="1:4" ht="12">
      <c r="A57" s="28">
        <f t="shared" si="2"/>
        <v>286.4</v>
      </c>
      <c r="B57" s="28">
        <v>13.25</v>
      </c>
      <c r="C57" s="13">
        <f>-(2385.73/$A57-14.0184+0.0152642*$A57-[0]!IFORMAL*(0.28956-6.167*10^-4*$A57))</f>
        <v>1.317254138893948</v>
      </c>
      <c r="D57" s="15">
        <f t="shared" si="3"/>
        <v>16.858304947225545</v>
      </c>
    </row>
    <row r="58" spans="1:4" ht="12">
      <c r="A58" s="28">
        <f t="shared" si="2"/>
        <v>286.65</v>
      </c>
      <c r="B58" s="28">
        <v>13.5</v>
      </c>
      <c r="C58" s="13">
        <f>-(2385.73/$A58-14.0184+0.0152642*$A58-[0]!IFORMAL*(0.28956-6.167*10^-4*$A58))</f>
        <v>1.3207023039106658</v>
      </c>
      <c r="D58" s="15">
        <f t="shared" si="3"/>
        <v>16.724985134852968</v>
      </c>
    </row>
    <row r="59" spans="1:4" ht="12">
      <c r="A59" s="28">
        <f t="shared" si="2"/>
        <v>286.9</v>
      </c>
      <c r="B59" s="28">
        <v>13.75</v>
      </c>
      <c r="C59" s="13">
        <f>-(2385.73/$A59-14.0184+0.0152642*$A59-[0]!IFORMAL*(0.28956-6.167*10^-4*$A59))</f>
        <v>1.3241378077003392</v>
      </c>
      <c r="D59" s="15">
        <f t="shared" si="3"/>
        <v>16.593203393630883</v>
      </c>
    </row>
    <row r="60" spans="1:4" ht="12">
      <c r="A60" s="28">
        <f t="shared" si="2"/>
        <v>287.15</v>
      </c>
      <c r="B60" s="28">
        <v>14</v>
      </c>
      <c r="C60" s="13">
        <f>-(2385.73/$A60-14.0184+0.0152642*$A60-[0]!IFORMAL*(0.28956-6.167*10^-4*$A60))</f>
        <v>1.3275606833325133</v>
      </c>
      <c r="D60" s="15">
        <f t="shared" si="3"/>
        <v>16.462938697353703</v>
      </c>
    </row>
    <row r="61" spans="1:4" ht="12">
      <c r="A61" s="28">
        <f t="shared" si="2"/>
        <v>287.4</v>
      </c>
      <c r="B61" s="28">
        <v>14.25</v>
      </c>
      <c r="C61" s="13">
        <f>-(2385.73/$A61-14.0184+0.0152642*$A61-[0]!IFORMAL*(0.28956-6.167*10^-4*$A61))</f>
        <v>1.3309709637616718</v>
      </c>
      <c r="D61" s="15">
        <f t="shared" si="3"/>
        <v>16.334170351144344</v>
      </c>
    </row>
    <row r="62" spans="1:4" ht="12">
      <c r="A62" s="28">
        <f t="shared" si="2"/>
        <v>287.65</v>
      </c>
      <c r="B62" s="28">
        <v>14.5</v>
      </c>
      <c r="C62" s="13">
        <f>-(2385.73/$A62-14.0184+0.0152642*$A62-[0]!IFORMAL*(0.28956-6.167*10^-4*$A62))</f>
        <v>1.3343686818277327</v>
      </c>
      <c r="D62" s="15">
        <f t="shared" si="3"/>
        <v>16.206877985619357</v>
      </c>
    </row>
    <row r="63" spans="1:4" ht="12">
      <c r="A63" s="28">
        <f t="shared" si="2"/>
        <v>287.9</v>
      </c>
      <c r="B63" s="28">
        <v>14.75</v>
      </c>
      <c r="C63" s="13">
        <f>-(2385.73/$A63-14.0184+0.0152642*$A63-[0]!IFORMAL*(0.28956-6.167*10^-4*$A63))</f>
        <v>1.3377538702565417</v>
      </c>
      <c r="D63" s="15">
        <f t="shared" si="3"/>
        <v>16.081041551166937</v>
      </c>
    </row>
    <row r="64" spans="1:4" ht="12">
      <c r="A64" s="28">
        <f t="shared" si="2"/>
        <v>288.15</v>
      </c>
      <c r="B64" s="28">
        <v>15</v>
      </c>
      <c r="C64" s="13">
        <f>-(2385.73/$A64-14.0184+0.0152642*$A64-[0]!IFORMAL*(0.28956-6.167*10^-4*$A64))</f>
        <v>1.341126561660382</v>
      </c>
      <c r="D64" s="15">
        <f t="shared" si="3"/>
        <v>15.95664131233486</v>
      </c>
    </row>
    <row r="65" spans="1:4" ht="12">
      <c r="A65" s="28">
        <f t="shared" si="2"/>
        <v>288.4</v>
      </c>
      <c r="B65" s="28">
        <v>15.25</v>
      </c>
      <c r="C65" s="13">
        <f>-(2385.73/$A65-14.0184+0.0152642*$A65-[0]!IFORMAL*(0.28956-6.167*10^-4*$A65))</f>
        <v>1.34448678853845</v>
      </c>
      <c r="D65" s="15">
        <f t="shared" si="3"/>
        <v>15.833657842328003</v>
      </c>
    </row>
    <row r="66" spans="1:4" ht="12">
      <c r="A66" s="28">
        <f t="shared" si="2"/>
        <v>288.65</v>
      </c>
      <c r="B66" s="28">
        <v>15.5</v>
      </c>
      <c r="C66" s="13">
        <f>-(2385.73/$A66-14.0184+0.0152642*$A66-[0]!IFORMAL*(0.28956-6.167*10^-4*$A66))</f>
        <v>1.3478345832773526</v>
      </c>
      <c r="D66" s="15">
        <f t="shared" si="3"/>
        <v>15.712072017610867</v>
      </c>
    </row>
    <row r="67" spans="1:4" ht="12">
      <c r="A67" s="28">
        <f t="shared" si="2"/>
        <v>288.9</v>
      </c>
      <c r="B67" s="28">
        <v>15.75</v>
      </c>
      <c r="C67" s="13">
        <f>-(2385.73/$A67-14.0184+0.0152642*$A67-[0]!IFORMAL*(0.28956-6.167*10^-4*$A67))</f>
        <v>1.3511699781515956</v>
      </c>
      <c r="D67" s="15">
        <f t="shared" si="3"/>
        <v>15.591865012614269</v>
      </c>
    </row>
    <row r="68" spans="1:4" ht="12">
      <c r="A68" s="28">
        <f aca="true" t="shared" si="4" ref="A68:A99">273.15+B68</f>
        <v>289.15</v>
      </c>
      <c r="B68" s="28">
        <v>16</v>
      </c>
      <c r="C68" s="13">
        <f>-(2385.73/$A68-14.0184+0.0152642*$A68-[0]!IFORMAL*(0.28956-6.167*10^-4*$A68))</f>
        <v>1.3544930053240631</v>
      </c>
      <c r="D68" s="15">
        <f aca="true" t="shared" si="5" ref="D68:D99">0.00035*10^-C68*1000000</f>
        <v>15.473018294543794</v>
      </c>
    </row>
    <row r="69" spans="1:4" ht="12">
      <c r="A69" s="28">
        <f t="shared" si="4"/>
        <v>289.4</v>
      </c>
      <c r="B69" s="28">
        <v>16.25</v>
      </c>
      <c r="C69" s="13">
        <f>-(2385.73/$A69-14.0184+0.0152642*$A69-[0]!IFORMAL*(0.28956-6.167*10^-4*$A69))</f>
        <v>1.3578036968465075</v>
      </c>
      <c r="D69" s="15">
        <f t="shared" si="5"/>
        <v>15.355513618287446</v>
      </c>
    </row>
    <row r="70" spans="1:4" ht="12">
      <c r="A70" s="28">
        <f t="shared" si="4"/>
        <v>289.65</v>
      </c>
      <c r="B70" s="28">
        <v>16.5</v>
      </c>
      <c r="C70" s="13">
        <f>-(2385.73/$A70-14.0184+0.0152642*$A70-[0]!IFORMAL*(0.28956-6.167*10^-4*$A70))</f>
        <v>1.3611020846600184</v>
      </c>
      <c r="D70" s="15">
        <f t="shared" si="5"/>
        <v>15.239333021421281</v>
      </c>
    </row>
    <row r="71" spans="1:4" ht="12">
      <c r="A71" s="28">
        <f t="shared" si="4"/>
        <v>289.9</v>
      </c>
      <c r="B71" s="28">
        <v>16.75</v>
      </c>
      <c r="C71" s="13">
        <f>-(2385.73/$A71-14.0184+0.0152642*$A71-[0]!IFORMAL*(0.28956-6.167*10^-4*$A71))</f>
        <v>1.3643882005955121</v>
      </c>
      <c r="D71" s="15">
        <f t="shared" si="5"/>
        <v>15.124458819309764</v>
      </c>
    </row>
    <row r="72" spans="1:4" ht="12">
      <c r="A72" s="28">
        <f t="shared" si="4"/>
        <v>290.15</v>
      </c>
      <c r="B72" s="28">
        <v>17</v>
      </c>
      <c r="C72" s="13">
        <f>-(2385.73/$A72-14.0184+0.0152642*$A72-[0]!IFORMAL*(0.28956-6.167*10^-4*$A72))</f>
        <v>1.3676620763741953</v>
      </c>
      <c r="D72" s="15">
        <f t="shared" si="5"/>
        <v>15.010873600300304</v>
      </c>
    </row>
    <row r="73" spans="1:4" ht="12">
      <c r="A73" s="28">
        <f t="shared" si="4"/>
        <v>290.4</v>
      </c>
      <c r="B73" s="28">
        <v>17.25</v>
      </c>
      <c r="C73" s="13">
        <f>-(2385.73/$A73-14.0184+0.0152642*$A73-[0]!IFORMAL*(0.28956-6.167*10^-4*$A73))</f>
        <v>1.370923743608043</v>
      </c>
      <c r="D73" s="15">
        <f t="shared" si="5"/>
        <v>14.898560221008779</v>
      </c>
    </row>
    <row r="74" spans="1:4" ht="12">
      <c r="A74" s="28">
        <f t="shared" si="4"/>
        <v>290.65</v>
      </c>
      <c r="B74" s="28">
        <v>17.5</v>
      </c>
      <c r="C74" s="13">
        <f>-(2385.73/$A74-14.0184+0.0152642*$A74-[0]!IFORMAL*(0.28956-6.167*10^-4*$A74))</f>
        <v>1.3741732338002668</v>
      </c>
      <c r="D74" s="15">
        <f t="shared" si="5"/>
        <v>14.787501801694885</v>
      </c>
    </row>
    <row r="75" spans="1:4" ht="12">
      <c r="A75" s="28">
        <f t="shared" si="4"/>
        <v>290.9</v>
      </c>
      <c r="B75" s="28">
        <v>17.75</v>
      </c>
      <c r="C75" s="13">
        <f>-(2385.73/$A75-14.0184+0.0152642*$A75-[0]!IFORMAL*(0.28956-6.167*10^-4*$A75))</f>
        <v>1.3774105783457835</v>
      </c>
      <c r="D75" s="15">
        <f t="shared" si="5"/>
        <v>14.677681721725202</v>
      </c>
    </row>
    <row r="76" spans="1:4" ht="12">
      <c r="A76" s="28">
        <f t="shared" si="4"/>
        <v>291.15</v>
      </c>
      <c r="B76" s="28">
        <v>18</v>
      </c>
      <c r="C76" s="13">
        <f>-(2385.73/$A76-14.0184+0.0152642*$A76-[0]!IFORMAL*(0.28956-6.167*10^-4*$A76))</f>
        <v>1.3806358085316797</v>
      </c>
      <c r="D76" s="15">
        <f t="shared" si="5"/>
        <v>14.569083615122214</v>
      </c>
    </row>
    <row r="77" spans="1:4" ht="12">
      <c r="A77" s="28">
        <f t="shared" si="4"/>
        <v>291.4</v>
      </c>
      <c r="B77" s="28">
        <v>18.25</v>
      </c>
      <c r="C77" s="13">
        <f>-(2385.73/$A77-14.0184+0.0152642*$A77-[0]!IFORMAL*(0.28956-6.167*10^-4*$A77))</f>
        <v>1.3838489555376732</v>
      </c>
      <c r="D77" s="15">
        <f t="shared" si="5"/>
        <v>14.461691366197622</v>
      </c>
    </row>
    <row r="78" spans="1:4" ht="12">
      <c r="A78" s="28">
        <f t="shared" si="4"/>
        <v>291.65</v>
      </c>
      <c r="B78" s="28">
        <v>18.5</v>
      </c>
      <c r="C78" s="13">
        <f>-(2385.73/$A78-14.0184+0.0152642*$A78-[0]!IFORMAL*(0.28956-6.167*10^-4*$A78))</f>
        <v>1.3870500504365721</v>
      </c>
      <c r="D78" s="15">
        <f t="shared" si="5"/>
        <v>14.355489105268001</v>
      </c>
    </row>
    <row r="79" spans="1:4" ht="12">
      <c r="A79" s="28">
        <f t="shared" si="4"/>
        <v>291.9</v>
      </c>
      <c r="B79" s="28">
        <v>18.75</v>
      </c>
      <c r="C79" s="13">
        <f>-(2385.73/$A79-14.0184+0.0152642*$A79-[0]!IFORMAL*(0.28956-6.167*10^-4*$A79))</f>
        <v>1.3902391241947376</v>
      </c>
      <c r="D79" s="15">
        <f t="shared" si="5"/>
        <v>14.250461204451147</v>
      </c>
    </row>
    <row r="80" spans="1:4" ht="12">
      <c r="A80" s="28">
        <f t="shared" si="4"/>
        <v>292.15</v>
      </c>
      <c r="B80" s="28">
        <v>19</v>
      </c>
      <c r="C80" s="13">
        <f>-(2385.73/$A80-14.0184+0.0152642*$A80-[0]!IFORMAL*(0.28956-6.167*10^-4*$A80))</f>
        <v>1.3934162076725325</v>
      </c>
      <c r="D80" s="15">
        <f t="shared" si="5"/>
        <v>14.146592273541783</v>
      </c>
    </row>
    <row r="81" spans="1:4" ht="12">
      <c r="A81" s="28">
        <f t="shared" si="4"/>
        <v>292.4</v>
      </c>
      <c r="B81" s="28">
        <v>19.25</v>
      </c>
      <c r="C81" s="13">
        <f>-(2385.73/$A81-14.0184+0.0152642*$A81-[0]!IFORMAL*(0.28956-6.167*10^-4*$A81))</f>
        <v>1.3965813316247817</v>
      </c>
      <c r="D81" s="15">
        <f t="shared" si="5"/>
        <v>14.043867155964449</v>
      </c>
    </row>
    <row r="82" spans="1:4" ht="12">
      <c r="A82" s="28">
        <f t="shared" si="4"/>
        <v>292.65</v>
      </c>
      <c r="B82" s="28">
        <v>19.5</v>
      </c>
      <c r="C82" s="13">
        <f>-(2385.73/$A82-14.0184+0.0152642*$A82-[0]!IFORMAL*(0.28956-6.167*10^-4*$A82))</f>
        <v>1.3997345267012176</v>
      </c>
      <c r="D82" s="15">
        <f t="shared" si="5"/>
        <v>13.942270924802541</v>
      </c>
    </row>
    <row r="83" spans="1:4" ht="12">
      <c r="A83" s="28">
        <f t="shared" si="4"/>
        <v>292.9</v>
      </c>
      <c r="B83" s="28">
        <v>19.75</v>
      </c>
      <c r="C83" s="13">
        <f>-(2385.73/$A83-14.0184+0.0152642*$A83-[0]!IFORMAL*(0.28956-6.167*10^-4*$A83))</f>
        <v>1.4028758234469283</v>
      </c>
      <c r="D83" s="15">
        <f t="shared" si="5"/>
        <v>13.841788878901705</v>
      </c>
    </row>
    <row r="84" spans="1:4" ht="12">
      <c r="A84" s="28">
        <f t="shared" si="4"/>
        <v>293.15</v>
      </c>
      <c r="B84" s="28">
        <v>20</v>
      </c>
      <c r="C84" s="13">
        <f>-(2385.73/$A84-14.0184+0.0152642*$A84-[0]!IFORMAL*(0.28956-6.167*10^-4*$A84))</f>
        <v>1.406005252302809</v>
      </c>
      <c r="D84" s="15">
        <f t="shared" si="5"/>
        <v>13.74240653904576</v>
      </c>
    </row>
    <row r="85" spans="1:4" ht="12">
      <c r="A85" s="28">
        <f t="shared" si="4"/>
        <v>293.4</v>
      </c>
      <c r="B85" s="28">
        <v>20.25</v>
      </c>
      <c r="C85" s="13">
        <f>-(2385.73/$A85-14.0184+0.0152642*$A85-[0]!IFORMAL*(0.28956-6.167*10^-4*$A85))</f>
        <v>1.4091228436060022</v>
      </c>
      <c r="D85" s="15">
        <f t="shared" si="5"/>
        <v>13.644109644204407</v>
      </c>
    </row>
    <row r="86" spans="1:4" ht="12">
      <c r="A86" s="28">
        <f t="shared" si="4"/>
        <v>293.65</v>
      </c>
      <c r="B86" s="28">
        <v>20.5</v>
      </c>
      <c r="C86" s="13">
        <f>-(2385.73/$A86-14.0184+0.0152642*$A86-[0]!IFORMAL*(0.28956-6.167*10^-4*$A86))</f>
        <v>1.4122286275903368</v>
      </c>
      <c r="D86" s="15">
        <f t="shared" si="5"/>
        <v>13.546884147850676</v>
      </c>
    </row>
    <row r="87" spans="1:4" ht="12">
      <c r="A87" s="28">
        <f t="shared" si="4"/>
        <v>293.9</v>
      </c>
      <c r="B87" s="28">
        <v>20.75</v>
      </c>
      <c r="C87" s="13">
        <f>-(2385.73/$A87-14.0184+0.0152642*$A87-[0]!IFORMAL*(0.28956-6.167*10^-4*$A87))</f>
        <v>1.4153226343867737</v>
      </c>
      <c r="D87" s="15">
        <f t="shared" si="5"/>
        <v>13.450716214346714</v>
      </c>
    </row>
    <row r="88" spans="1:4" ht="12">
      <c r="A88" s="28">
        <f t="shared" si="4"/>
        <v>294.15</v>
      </c>
      <c r="B88" s="28">
        <v>21</v>
      </c>
      <c r="C88" s="13">
        <f>-(2385.73/$A88-14.0184+0.0152642*$A88-[0]!IFORMAL*(0.28956-6.167*10^-4*$A88))</f>
        <v>1.418404894023841</v>
      </c>
      <c r="D88" s="15">
        <f t="shared" si="5"/>
        <v>13.355592215396868</v>
      </c>
    </row>
    <row r="89" spans="1:4" ht="12">
      <c r="A89" s="28">
        <f t="shared" si="4"/>
        <v>294.4</v>
      </c>
      <c r="B89" s="28">
        <v>21.25</v>
      </c>
      <c r="C89" s="13">
        <f>-(2385.73/$A89-14.0184+0.0152642*$A89-[0]!IFORMAL*(0.28956-6.167*10^-4*$A89))</f>
        <v>1.4214754364280617</v>
      </c>
      <c r="D89" s="15">
        <f t="shared" si="5"/>
        <v>13.26149872656674</v>
      </c>
    </row>
    <row r="90" spans="1:4" ht="12">
      <c r="A90" s="28">
        <f t="shared" si="4"/>
        <v>294.65</v>
      </c>
      <c r="B90" s="28">
        <v>21.5</v>
      </c>
      <c r="C90" s="13">
        <f>-(2385.73/$A90-14.0184+0.0152642*$A90-[0]!IFORMAL*(0.28956-6.167*10^-4*$A90))</f>
        <v>1.4245342914244004</v>
      </c>
      <c r="D90" s="15">
        <f t="shared" si="5"/>
        <v>13.168422523865981</v>
      </c>
    </row>
    <row r="91" spans="1:4" ht="12">
      <c r="A91" s="28">
        <f t="shared" si="4"/>
        <v>294.9</v>
      </c>
      <c r="B91" s="28">
        <v>21.75</v>
      </c>
      <c r="C91" s="13">
        <f>-(2385.73/$A91-14.0184+0.0152642*$A91-[0]!IFORMAL*(0.28956-6.167*10^-4*$A91))</f>
        <v>1.4275814887366791</v>
      </c>
      <c r="D91" s="15">
        <f t="shared" si="5"/>
        <v>13.076350580395122</v>
      </c>
    </row>
    <row r="92" spans="1:4" ht="12">
      <c r="A92" s="28">
        <f t="shared" si="4"/>
        <v>295.15</v>
      </c>
      <c r="B92" s="28">
        <v>22</v>
      </c>
      <c r="C92" s="13">
        <f>-(2385.73/$A92-14.0184+0.0152642*$A92-[0]!IFORMAL*(0.28956-6.167*10^-4*$A92))</f>
        <v>1.4306170579880162</v>
      </c>
      <c r="D92" s="15">
        <f t="shared" si="5"/>
        <v>12.98527006305348</v>
      </c>
    </row>
    <row r="93" spans="1:4" ht="12">
      <c r="A93" s="28">
        <f t="shared" si="4"/>
        <v>295.4</v>
      </c>
      <c r="B93" s="28">
        <v>22.25</v>
      </c>
      <c r="C93" s="13">
        <f>-(2385.73/$A93-14.0184+0.0152642*$A93-[0]!IFORMAL*(0.28956-6.167*10^-4*$A93))</f>
        <v>1.4336410287012462</v>
      </c>
      <c r="D93" s="15">
        <f t="shared" si="5"/>
        <v>12.895168329308236</v>
      </c>
    </row>
    <row r="94" spans="1:4" ht="12">
      <c r="A94" s="28">
        <f t="shared" si="4"/>
        <v>295.65</v>
      </c>
      <c r="B94" s="28">
        <v>22.5</v>
      </c>
      <c r="C94" s="13">
        <f>-(2385.73/$A94-14.0184+0.0152642*$A94-[0]!IFORMAL*(0.28956-6.167*10^-4*$A94))</f>
        <v>1.4366534302993492</v>
      </c>
      <c r="D94" s="15">
        <f t="shared" si="5"/>
        <v>12.806032924022533</v>
      </c>
    </row>
    <row r="95" spans="1:4" ht="12">
      <c r="A95" s="28">
        <f t="shared" si="4"/>
        <v>295.9</v>
      </c>
      <c r="B95" s="28">
        <v>22.75</v>
      </c>
      <c r="C95" s="13">
        <f>-(2385.73/$A95-14.0184+0.0152642*$A95-[0]!IFORMAL*(0.28956-6.167*10^-4*$A95))</f>
        <v>1.4396542921058677</v>
      </c>
      <c r="D95" s="15">
        <f t="shared" si="5"/>
        <v>12.717851576342138</v>
      </c>
    </row>
    <row r="96" spans="1:4" ht="12">
      <c r="A96" s="28">
        <f t="shared" si="4"/>
        <v>296.15</v>
      </c>
      <c r="B96" s="28">
        <v>23</v>
      </c>
      <c r="C96" s="13">
        <f>-(2385.73/$A96-14.0184+0.0152642*$A96-[0]!IFORMAL*(0.28956-6.167*10^-4*$A96))</f>
        <v>1.4426436433453294</v>
      </c>
      <c r="D96" s="15">
        <f t="shared" si="5"/>
        <v>12.630612196638863</v>
      </c>
    </row>
    <row r="97" spans="1:4" ht="12">
      <c r="A97" s="28">
        <f t="shared" si="4"/>
        <v>296.4</v>
      </c>
      <c r="B97" s="28">
        <v>23.25</v>
      </c>
      <c r="C97" s="13">
        <f>-(2385.73/$A97-14.0184+0.0152642*$A97-[0]!IFORMAL*(0.28956-6.167*10^-4*$A97))</f>
        <v>1.4456215131436607</v>
      </c>
      <c r="D97" s="15">
        <f t="shared" si="5"/>
        <v>12.544302873510212</v>
      </c>
    </row>
    <row r="98" spans="1:4" ht="12">
      <c r="A98" s="28">
        <f t="shared" si="4"/>
        <v>296.65</v>
      </c>
      <c r="B98" s="28">
        <v>23.5</v>
      </c>
      <c r="C98" s="13">
        <f>-(2385.73/$A98-14.0184+0.0152642*$A98-[0]!IFORMAL*(0.28956-6.167*10^-4*$A98))</f>
        <v>1.4485879305286098</v>
      </c>
      <c r="D98" s="15">
        <f t="shared" si="5"/>
        <v>12.45891187083341</v>
      </c>
    </row>
    <row r="99" spans="1:4" ht="12">
      <c r="A99" s="28">
        <f t="shared" si="4"/>
        <v>296.9</v>
      </c>
      <c r="B99" s="28">
        <v>23.75</v>
      </c>
      <c r="C99" s="13">
        <f>-(2385.73/$A99-14.0184+0.0152642*$A99-[0]!IFORMAL*(0.28956-6.167*10^-4*$A99))</f>
        <v>1.4515429244301519</v>
      </c>
      <c r="D99" s="15">
        <f t="shared" si="5"/>
        <v>12.374427624873638</v>
      </c>
    </row>
    <row r="100" spans="1:4" ht="12">
      <c r="A100" s="28">
        <f aca="true" t="shared" si="6" ref="A100:A123">273.15+B100</f>
        <v>297.15</v>
      </c>
      <c r="B100" s="28">
        <v>24</v>
      </c>
      <c r="C100" s="13">
        <f>-(2385.73/$A100-14.0184+0.0152642*$A100-[0]!IFORMAL*(0.28956-6.167*10^-4*$A100))</f>
        <v>1.4544865236809066</v>
      </c>
      <c r="D100" s="15">
        <f aca="true" t="shared" si="7" ref="D100:D123">0.00035*10^-C100*1000000</f>
        <v>12.290838741444523</v>
      </c>
    </row>
    <row r="101" spans="1:4" ht="12">
      <c r="A101" s="28">
        <f t="shared" si="6"/>
        <v>297.4</v>
      </c>
      <c r="B101" s="28">
        <v>24.25</v>
      </c>
      <c r="C101" s="13">
        <f>-(2385.73/$A101-14.0184+0.0152642*$A101-[0]!IFORMAL*(0.28956-6.167*10^-4*$A101))</f>
        <v>1.4574187570165429</v>
      </c>
      <c r="D101" s="15">
        <f t="shared" si="7"/>
        <v>12.208133993120509</v>
      </c>
    </row>
    <row r="102" spans="1:4" ht="12">
      <c r="A102" s="28">
        <f t="shared" si="6"/>
        <v>297.65</v>
      </c>
      <c r="B102" s="28">
        <v>24.5</v>
      </c>
      <c r="C102" s="13">
        <f>-(2385.73/$A102-14.0184+0.0152642*$A102-[0]!IFORMAL*(0.28956-6.167*10^-4*$A102))</f>
        <v>1.4603396530761872</v>
      </c>
      <c r="D102" s="15">
        <f t="shared" si="7"/>
        <v>12.126302316499675</v>
      </c>
    </row>
    <row r="103" spans="1:4" ht="12">
      <c r="A103" s="28">
        <f t="shared" si="6"/>
        <v>297.9</v>
      </c>
      <c r="B103" s="28">
        <v>24.75</v>
      </c>
      <c r="C103" s="13">
        <f>-(2385.73/$A103-14.0184+0.0152642*$A103-[0]!IFORMAL*(0.28956-6.167*10^-4*$A103))</f>
        <v>1.4632492404028328</v>
      </c>
      <c r="D103" s="15">
        <f t="shared" si="7"/>
        <v>12.045332809516033</v>
      </c>
    </row>
    <row r="104" spans="1:4" ht="12">
      <c r="A104" s="28">
        <f t="shared" si="6"/>
        <v>298.15</v>
      </c>
      <c r="B104" s="28">
        <v>25</v>
      </c>
      <c r="C104" s="13">
        <f>-(2385.73/$A104-14.0184+0.0152642*$A104-[0]!IFORMAL*(0.28956-6.167*10^-4*$A104))</f>
        <v>1.4661475474437347</v>
      </c>
      <c r="D104" s="15">
        <f t="shared" si="7"/>
        <v>11.965214728800836</v>
      </c>
    </row>
    <row r="105" spans="1:4" ht="12">
      <c r="A105" s="28">
        <f t="shared" si="6"/>
        <v>298.4</v>
      </c>
      <c r="B105" s="28">
        <v>25.25</v>
      </c>
      <c r="C105" s="13">
        <f>-(2385.73/$A105-14.0184+0.0152642*$A105-[0]!IFORMAL*(0.28956-6.167*10^-4*$A105))</f>
        <v>1.4690346025508199</v>
      </c>
      <c r="D105" s="15">
        <f t="shared" si="7"/>
        <v>11.885937487090981</v>
      </c>
    </row>
    <row r="106" spans="1:4" ht="12">
      <c r="A106" s="28">
        <f t="shared" si="6"/>
        <v>298.65</v>
      </c>
      <c r="B106" s="28">
        <v>25.5</v>
      </c>
      <c r="C106" s="13">
        <f>-(2385.73/$A106-14.0184+0.0152642*$A106-[0]!IFORMAL*(0.28956-6.167*10^-4*$A106))</f>
        <v>1.471910433981078</v>
      </c>
      <c r="D106" s="15">
        <f t="shared" si="7"/>
        <v>11.80749065068466</v>
      </c>
    </row>
    <row r="107" spans="1:4" ht="12">
      <c r="A107" s="28">
        <f t="shared" si="6"/>
        <v>298.9</v>
      </c>
      <c r="B107" s="28">
        <v>25.75</v>
      </c>
      <c r="C107" s="13">
        <f>-(2385.73/$A107-14.0184+0.0152642*$A107-[0]!IFORMAL*(0.28956-6.167*10^-4*$A107))</f>
        <v>1.4747750698969617</v>
      </c>
      <c r="D107" s="15">
        <f t="shared" si="7"/>
        <v>11.729863936942493</v>
      </c>
    </row>
    <row r="108" spans="1:4" ht="12">
      <c r="A108" s="28">
        <f t="shared" si="6"/>
        <v>299.15</v>
      </c>
      <c r="B108" s="28">
        <v>26</v>
      </c>
      <c r="C108" s="13">
        <f>-(2385.73/$A108-14.0184+0.0152642*$A108-[0]!IFORMAL*(0.28956-6.167*10^-4*$A108))</f>
        <v>1.4776285383667862</v>
      </c>
      <c r="D108" s="15">
        <f t="shared" si="7"/>
        <v>11.653047211833487</v>
      </c>
    </row>
    <row r="109" spans="1:4" ht="12">
      <c r="A109" s="28">
        <f t="shared" si="6"/>
        <v>299.4</v>
      </c>
      <c r="B109" s="28">
        <v>26.25</v>
      </c>
      <c r="C109" s="13">
        <f>-(2385.73/$A109-14.0184+0.0152642*$A109-[0]!IFORMAL*(0.28956-6.167*10^-4*$A109))</f>
        <v>1.4804708673651152</v>
      </c>
      <c r="D109" s="15">
        <f t="shared" si="7"/>
        <v>11.577030487525391</v>
      </c>
    </row>
    <row r="110" spans="1:4" ht="12">
      <c r="A110" s="28">
        <f t="shared" si="6"/>
        <v>299.65</v>
      </c>
      <c r="B110" s="28">
        <v>26.5</v>
      </c>
      <c r="C110" s="13">
        <f>-(2385.73/$A110-14.0184+0.0152642*$A110-[0]!IFORMAL*(0.28956-6.167*10^-4*$A110))</f>
        <v>1.4833020847731555</v>
      </c>
      <c r="D110" s="15">
        <f t="shared" si="7"/>
        <v>11.50180392001787</v>
      </c>
    </row>
    <row r="111" spans="1:4" ht="12">
      <c r="A111" s="28">
        <f t="shared" si="6"/>
        <v>299.9</v>
      </c>
      <c r="B111" s="28">
        <v>26.75</v>
      </c>
      <c r="C111" s="13">
        <f>-(2385.73/$A111-14.0184+0.0152642*$A111-[0]!IFORMAL*(0.28956-6.167*10^-4*$A111))</f>
        <v>1.486122218379146</v>
      </c>
      <c r="D111" s="15">
        <f t="shared" si="7"/>
        <v>11.427357806818133</v>
      </c>
    </row>
    <row r="112" spans="1:4" ht="12">
      <c r="A112" s="28">
        <f t="shared" si="6"/>
        <v>300.15</v>
      </c>
      <c r="B112" s="28">
        <v>27</v>
      </c>
      <c r="C112" s="13">
        <f>-(2385.73/$A112-14.0184+0.0152642*$A112-[0]!IFORMAL*(0.28956-6.167*10^-4*$A112))</f>
        <v>1.4889312958787428</v>
      </c>
      <c r="D112" s="15">
        <f t="shared" si="7"/>
        <v>11.353682584658111</v>
      </c>
    </row>
    <row r="113" spans="1:4" ht="12">
      <c r="A113" s="28">
        <f t="shared" si="6"/>
        <v>300.4</v>
      </c>
      <c r="B113" s="28">
        <v>27.25</v>
      </c>
      <c r="C113" s="13">
        <f>-(2385.73/$A113-14.0184+0.0152642*$A113-[0]!IFORMAL*(0.28956-6.167*10^-4*$A113))</f>
        <v>1.4917293448754083</v>
      </c>
      <c r="D113" s="15">
        <f t="shared" si="7"/>
        <v>11.28076882725214</v>
      </c>
    </row>
    <row r="114" spans="1:4" ht="12">
      <c r="A114" s="28">
        <f t="shared" si="6"/>
        <v>300.65</v>
      </c>
      <c r="B114" s="28">
        <v>27.5</v>
      </c>
      <c r="C114" s="13">
        <f>-(2385.73/$A114-14.0184+0.0152642*$A114-[0]!IFORMAL*(0.28956-6.167*10^-4*$A114))</f>
        <v>1.4945163928807905</v>
      </c>
      <c r="D114" s="15">
        <f t="shared" si="7"/>
        <v>11.208607243094757</v>
      </c>
    </row>
    <row r="115" spans="1:4" ht="12">
      <c r="A115" s="28">
        <f t="shared" si="6"/>
        <v>300.9</v>
      </c>
      <c r="B115" s="28">
        <v>27.75</v>
      </c>
      <c r="C115" s="13">
        <f>-(2385.73/$A115-14.0184+0.0152642*$A115-[0]!IFORMAL*(0.28956-6.167*10^-4*$A115))</f>
        <v>1.4972924673151076</v>
      </c>
      <c r="D115" s="15">
        <f t="shared" si="7"/>
        <v>11.137188673297475</v>
      </c>
    </row>
    <row r="116" spans="1:4" ht="12">
      <c r="A116" s="28">
        <f t="shared" si="6"/>
        <v>301.15</v>
      </c>
      <c r="B116" s="28">
        <v>28</v>
      </c>
      <c r="C116" s="13">
        <f>-(2385.73/$A116-14.0184+0.0152642*$A116-[0]!IFORMAL*(0.28956-6.167*10^-4*$A116))</f>
        <v>1.5000575955075257</v>
      </c>
      <c r="D116" s="15">
        <f t="shared" si="7"/>
        <v>11.066504089463992</v>
      </c>
    </row>
    <row r="117" spans="1:4" ht="12">
      <c r="A117" s="28">
        <f t="shared" si="6"/>
        <v>301.4</v>
      </c>
      <c r="B117" s="28">
        <v>28.25</v>
      </c>
      <c r="C117" s="13">
        <f>-(2385.73/$A117-14.0184+0.0152642*$A117-[0]!IFORMAL*(0.28956-6.167*10^-4*$A117))</f>
        <v>1.502811804696536</v>
      </c>
      <c r="D117" s="15">
        <f t="shared" si="7"/>
        <v>10.996544591603032</v>
      </c>
    </row>
    <row r="118" spans="1:4" ht="12">
      <c r="A118" s="28">
        <f t="shared" si="6"/>
        <v>301.65</v>
      </c>
      <c r="B118" s="28">
        <v>28.5</v>
      </c>
      <c r="C118" s="13">
        <f>-(2385.73/$A118-14.0184+0.0152642*$A118-[0]!IFORMAL*(0.28956-6.167*10^-4*$A118))</f>
        <v>1.5055551220303311</v>
      </c>
      <c r="D118" s="15">
        <f t="shared" si="7"/>
        <v>10.927301406078056</v>
      </c>
    </row>
    <row r="119" spans="1:4" ht="12">
      <c r="A119" s="28">
        <f t="shared" si="6"/>
        <v>301.9</v>
      </c>
      <c r="B119" s="28">
        <v>28.75</v>
      </c>
      <c r="C119" s="13">
        <f>-(2385.73/$A119-14.0184+0.0152642*$A119-[0]!IFORMAL*(0.28956-6.167*10^-4*$A119))</f>
        <v>1.5082875745671815</v>
      </c>
      <c r="D119" s="15">
        <f t="shared" si="7"/>
        <v>10.85876588359311</v>
      </c>
    </row>
    <row r="120" spans="1:4" ht="12">
      <c r="A120" s="28">
        <f t="shared" si="6"/>
        <v>302.15</v>
      </c>
      <c r="B120" s="28">
        <v>29</v>
      </c>
      <c r="C120" s="13">
        <f>-(2385.73/$A120-14.0184+0.0152642*$A120-[0]!IFORMAL*(0.28956-6.167*10^-4*$A120))</f>
        <v>1.511009189275803</v>
      </c>
      <c r="D120" s="15">
        <f t="shared" si="7"/>
        <v>10.790929497214329</v>
      </c>
    </row>
    <row r="121" spans="1:4" ht="12">
      <c r="A121" s="28">
        <f t="shared" si="6"/>
        <v>302.4</v>
      </c>
      <c r="B121" s="28">
        <v>29.25</v>
      </c>
      <c r="C121" s="13">
        <f>-(2385.73/$A121-14.0184+0.0152642*$A121-[0]!IFORMAL*(0.28956-6.167*10^-4*$A121))</f>
        <v>1.5137199930357312</v>
      </c>
      <c r="D121" s="15">
        <f t="shared" si="7"/>
        <v>10.72378384042608</v>
      </c>
    </row>
    <row r="122" spans="1:4" ht="12">
      <c r="A122" s="28">
        <f t="shared" si="6"/>
        <v>302.65</v>
      </c>
      <c r="B122" s="28">
        <v>29.5</v>
      </c>
      <c r="C122" s="13">
        <f>-(2385.73/$A122-14.0184+0.0152642*$A122-[0]!IFORMAL*(0.28956-6.167*10^-4*$A122))</f>
        <v>1.516420012637684</v>
      </c>
      <c r="D122" s="15">
        <f t="shared" si="7"/>
        <v>10.657320625221429</v>
      </c>
    </row>
    <row r="123" spans="1:4" ht="12">
      <c r="A123" s="28">
        <f t="shared" si="6"/>
        <v>302.9</v>
      </c>
      <c r="B123" s="28">
        <v>29.75</v>
      </c>
      <c r="C123" s="13">
        <f>-(2385.73/$A123-14.0184+0.0152642*$A123-[0]!IFORMAL*(0.28956-6.167*10^-4*$A123))</f>
        <v>1.519109274783936</v>
      </c>
      <c r="D123" s="15">
        <f t="shared" si="7"/>
        <v>10.591531680225811</v>
      </c>
    </row>
    <row r="124" spans="3:4" ht="12">
      <c r="C124" s="13"/>
      <c r="D124" s="15"/>
    </row>
    <row r="127" ht="12">
      <c r="A127" s="28" t="s">
        <v>640</v>
      </c>
    </row>
    <row r="128" ht="12">
      <c r="A128" s="1" t="s">
        <v>641</v>
      </c>
    </row>
  </sheetData>
  <printOptions/>
  <pageMargins left="0.5" right="0.5" top="0.5" bottom="0.5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Speciation</dc:title>
  <dc:subject/>
  <dc:creator>Stan van den Berg</dc:creator>
  <cp:keywords/>
  <dc:description/>
  <cp:lastModifiedBy>van den Berg</cp:lastModifiedBy>
  <dcterms:created xsi:type="dcterms:W3CDTF">2001-06-29T05:11:13Z</dcterms:created>
  <dcterms:modified xsi:type="dcterms:W3CDTF">2002-02-15T11:50:20Z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